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835" windowHeight="3315" firstSheet="13" activeTab="16"/>
  </bookViews>
  <sheets>
    <sheet name="MIS " sheetId="1" r:id="rId1"/>
    <sheet name="CAL " sheetId="2" r:id="rId2"/>
    <sheet name="SC ST INTERVINTION" sheetId="3" r:id="rId3"/>
    <sheet name="Minority-Innovation" sheetId="4" r:id="rId4"/>
    <sheet name="Urban Children" sheetId="5" r:id="rId5"/>
    <sheet name="KGBV" sheetId="6" r:id="rId6"/>
    <sheet name="GIRLS EDUCATION" sheetId="7" r:id="rId7"/>
    <sheet name="MEDIA" sheetId="8" r:id="rId8"/>
    <sheet name="EFE" sheetId="9" r:id="rId9"/>
    <sheet name="OOSC" sheetId="10" r:id="rId10"/>
    <sheet name="VSS" sheetId="11" r:id="rId11"/>
    <sheet name="IE" sheetId="12" r:id="rId12"/>
    <sheet name="Directorate - Primary" sheetId="13" r:id="rId13"/>
    <sheet name="CIVIL WORKS" sheetId="14" r:id="rId14"/>
    <sheet name="MANAGEMENT" sheetId="15" r:id="rId15"/>
    <sheet name="STATE COMPONENT 2016-17" sheetId="16" r:id="rId16"/>
    <sheet name="Summary - Proposal" sheetId="17" r:id="rId17"/>
  </sheets>
  <definedNames>
    <definedName name="_xlnm.Print_Area" localSheetId="1">'CAL '!$A$1:$P$12</definedName>
    <definedName name="_xlnm.Print_Area" localSheetId="12">'Directorate - Primary'!$A$1:$P$12</definedName>
    <definedName name="_xlnm.Print_Area" localSheetId="11">'IE'!$A$1:$P$17</definedName>
    <definedName name="_xlnm.Print_Area" localSheetId="14">'MANAGEMENT'!$A$1:$P$39</definedName>
    <definedName name="_xlnm.Print_Area" localSheetId="7">'MEDIA'!$A$1:$P$33</definedName>
    <definedName name="_xlnm.Print_Area" localSheetId="9">'OOSC'!$A$1:$P$18</definedName>
    <definedName name="_xlnm.Print_Area" localSheetId="2">'SC ST INTERVINTION'!$A$1:$P$15</definedName>
    <definedName name="_xlnm.Print_Area" localSheetId="15">'STATE COMPONENT 2016-17'!$A$1:$P$23</definedName>
    <definedName name="_xlnm.Print_Area" localSheetId="10">'VSS'!$A$1:$P$16</definedName>
    <definedName name="_xlnm.Print_Titles" localSheetId="14">'MANAGEMENT'!$1:$7</definedName>
    <definedName name="_xlnm.Print_Titles" localSheetId="15">'STATE COMPONENT 2016-17'!$1:$7</definedName>
  </definedNames>
  <calcPr fullCalcOnLoad="1"/>
</workbook>
</file>

<file path=xl/sharedStrings.xml><?xml version="1.0" encoding="utf-8"?>
<sst xmlns="http://schemas.openxmlformats.org/spreadsheetml/2006/main" count="683" uniqueCount="239">
  <si>
    <t>Phy</t>
  </si>
  <si>
    <t>Fin</t>
  </si>
  <si>
    <t>Activity</t>
  </si>
  <si>
    <t>Proposed</t>
  </si>
  <si>
    <t>COMPONENT : MIS</t>
  </si>
  <si>
    <t xml:space="preserve">Internet/Intranet Rentals </t>
  </si>
  <si>
    <t>Contigency/Operating Expenses (Including Honm. To ASRGs/SRGs)</t>
  </si>
  <si>
    <t>Procurment-Computer Consumables</t>
  </si>
  <si>
    <t>Repair &amp; Maintenance/AMC-Computer&amp; Peripherals</t>
  </si>
  <si>
    <t>Unit Cost</t>
  </si>
  <si>
    <t>One day coordinatiors Meeting</t>
  </si>
  <si>
    <t xml:space="preserve">Contingency/ operating Expenses </t>
  </si>
  <si>
    <t>Workshop/Training  for DRG/CRP</t>
  </si>
  <si>
    <t>Coordinators Meetings</t>
  </si>
  <si>
    <t>Development &amp; Printing of BEP Ahwan</t>
  </si>
  <si>
    <t>News Papers/ Magazines</t>
  </si>
  <si>
    <t>Posters / Handbills/ Folders/ Calender Etc.</t>
  </si>
  <si>
    <t>Telecast Fee (DDK/AIR)</t>
  </si>
  <si>
    <t>Production of FILMS/SPOT/BUGS/SLIDES</t>
  </si>
  <si>
    <t>Cable Telecast</t>
  </si>
  <si>
    <t>Bal Sansad</t>
  </si>
  <si>
    <t>Academic Tour of Children</t>
  </si>
  <si>
    <t>Library at SLO</t>
  </si>
  <si>
    <t>Purchase of Equipments</t>
  </si>
  <si>
    <t>Wokshops/ Seminar/ Conference etc.</t>
  </si>
  <si>
    <t>Documentations</t>
  </si>
  <si>
    <t>STATE LEVEL OFFICE : PATNA</t>
  </si>
  <si>
    <t>Unit Discription</t>
  </si>
  <si>
    <t>Anticipated Saving</t>
  </si>
  <si>
    <t>COMPONENT : CAL</t>
  </si>
  <si>
    <t>COMPONENT : ST/ST INTERVENTION</t>
  </si>
  <si>
    <t>COMPONENT : GIRLS EDUCATION</t>
  </si>
  <si>
    <t>COMPONENT : MEDIA</t>
  </si>
  <si>
    <t>COMPONENT : EFE</t>
  </si>
  <si>
    <t>HON. FOR RESOURCE GROUP MEMBERS</t>
  </si>
  <si>
    <t>SEMINAR/WORKSHOP/MEETING</t>
  </si>
  <si>
    <t>FINLSN., FIELD TRIAL, TRG. OF MTs ON SS MODULES FOR U.P. TEACHS. ON MATHS SC.HIN. S.S.</t>
  </si>
  <si>
    <t>TRG. OF BRCCs AND LECTRS.</t>
  </si>
  <si>
    <t>TRG. OF MTs/TRAINERS</t>
  </si>
  <si>
    <t>STUDY TOUR/TRG. PROGRAM.</t>
  </si>
  <si>
    <t>Dev/Revi./Eval./ Prin. Of Text book/ Training Module</t>
  </si>
  <si>
    <t>Study Tour /Training/ Demonstra on outside State</t>
  </si>
  <si>
    <t>Documantation</t>
  </si>
  <si>
    <t>COMPONENT : VSS</t>
  </si>
  <si>
    <t>Meeting With DRG/SRG</t>
  </si>
  <si>
    <t>Seminar/ Conf./Workshop/Meeting</t>
  </si>
  <si>
    <t>Development/Revision/Evalu./Print of Module</t>
  </si>
  <si>
    <t>Study Tour /Training/ Demonstration</t>
  </si>
  <si>
    <t>Monthly reflection of VSS Co-ordinators</t>
  </si>
  <si>
    <t>Meeting/Workshop/Capacity Building of VSS/SME/PRI/NGO's</t>
  </si>
  <si>
    <t>COMPONENT : IED</t>
  </si>
  <si>
    <t>COMPONENT : Directorate - Primary</t>
  </si>
  <si>
    <t>TOTAL</t>
  </si>
  <si>
    <t>COMPONENT : Civil Works</t>
  </si>
  <si>
    <t>TRAINING OF ENGINEERS/SUPRV./MASSONS ON COST EFE. TECH</t>
  </si>
  <si>
    <t>PRINTING OF CATLOG OF DRAWING, DESIGN AND ESTIMATE FOR VSS</t>
  </si>
  <si>
    <t>COMPONENT : Management</t>
  </si>
  <si>
    <t>SALARY FOR OFFICERS INCLUDING STATUTORY PROVISION</t>
  </si>
  <si>
    <t>LIVERISE TO STAFF</t>
  </si>
  <si>
    <t>LEAVE SALARY &amp;  PENSION CONTRIBUTATION</t>
  </si>
  <si>
    <t>RESOURCE SUPPORT/ TEC./ LEGEL CONSULTANT</t>
  </si>
  <si>
    <t>VEHICLE HIRING CHARGES INCLUDING POL</t>
  </si>
  <si>
    <t>REPAIR &amp; MAINTANANCE OF OFFICE EQUIPMENT</t>
  </si>
  <si>
    <t>STATIONERY/CONSUMABLES FOR OFFICE</t>
  </si>
  <si>
    <t>TA/DA ALLOWANCES</t>
  </si>
  <si>
    <t>BANK COMMISSION/POSTAL CHARGES</t>
  </si>
  <si>
    <t>REPAIR &amp; MAINTANANCE OF VEHICLES</t>
  </si>
  <si>
    <t>FUEL/POL EXPENCES</t>
  </si>
  <si>
    <t>AUDIT FEE/AUDIT OF BLOCK/ VSS</t>
  </si>
  <si>
    <t>INSURANCE &amp; TAXES OF OFFICE VECHILES,STORE</t>
  </si>
  <si>
    <t>REPAIR &amp; MAINT. OF FURNITURE/FIXTURES</t>
  </si>
  <si>
    <t>PROCURMENT-OFFICE EQUIPMENT</t>
  </si>
  <si>
    <t>FURNITURE &amp; FIXTURES</t>
  </si>
  <si>
    <t>PROCUREMENT - COMPUTER HARDWARE &amp; PERIPHERALS</t>
  </si>
  <si>
    <t>MANAGEMENT</t>
  </si>
  <si>
    <t>MIS</t>
  </si>
  <si>
    <t>CAL</t>
  </si>
  <si>
    <t>SC/ST INTERVENTION</t>
  </si>
  <si>
    <t>GIRLS EDUCATION</t>
  </si>
  <si>
    <t>MEDIA</t>
  </si>
  <si>
    <t>EFE</t>
  </si>
  <si>
    <t>VSS</t>
  </si>
  <si>
    <t>IED</t>
  </si>
  <si>
    <t>DIRECTORATE - PRIMARY</t>
  </si>
  <si>
    <t>CIVIL WORKS</t>
  </si>
  <si>
    <t>COMPONENT : SLO</t>
  </si>
  <si>
    <t>Environment Building for SSA Activities(Cultural Group etc.)</t>
  </si>
  <si>
    <t xml:space="preserve">Others </t>
  </si>
  <si>
    <t>OTHERS</t>
  </si>
  <si>
    <t>Others</t>
  </si>
  <si>
    <t>CONTIGENCY/OPERATING EXPENSES</t>
  </si>
  <si>
    <t>Publicity/Advertisment etc.</t>
  </si>
  <si>
    <t>Orientation training programme for I.E. Co-ordinators</t>
  </si>
  <si>
    <t>Educational exposure-cum-trip to other states</t>
  </si>
  <si>
    <t xml:space="preserve">Procurment-Hardware &amp; Peripherals  </t>
  </si>
  <si>
    <t xml:space="preserve">Procurment of Computer Software  </t>
  </si>
  <si>
    <t xml:space="preserve">Software Consultancy/R&amp;D </t>
  </si>
  <si>
    <t>Development/Maintenance of Web-Portal</t>
  </si>
  <si>
    <t>Capacity Building of MIS Personnel/ASRGs/SRGs etc.</t>
  </si>
  <si>
    <t xml:space="preserve">Workshop on Sancetazation of Coordinator </t>
  </si>
  <si>
    <t>PROVISION OF CUNSULTANT / ARCHITECH FOR NEW SCHOOL BUILDING DRAWING PREPARATION</t>
  </si>
  <si>
    <t>Development of Puppet/Script &amp; Ppupet Show for Community awareness</t>
  </si>
  <si>
    <t>Workshop for Deveplopment of Training Mudule of MTs/Teacher</t>
  </si>
  <si>
    <t>Orientation/Workshop of Genders Co-ordinators/DRG</t>
  </si>
  <si>
    <t>Printing of Resource material for Teachers/Students</t>
  </si>
  <si>
    <t>COMPONENT : KGBV</t>
  </si>
  <si>
    <t>KGBV</t>
  </si>
  <si>
    <t>Meeting of AIE Coordinator</t>
  </si>
  <si>
    <t xml:space="preserve">Support to Regional Deputy Director of Education (RDDE) Offices </t>
  </si>
  <si>
    <t xml:space="preserve">Support to Director Primary Office </t>
  </si>
  <si>
    <t>Recommended</t>
  </si>
  <si>
    <t>Capacity Building of Master Trainers/Prog. Personnel</t>
  </si>
  <si>
    <t xml:space="preserve">DEVELOPMENT &amp; PRINTING OF CONSTRUCTION MANUAL </t>
  </si>
  <si>
    <t>TRAINING OF EDUCATIONAL OFFICERS</t>
  </si>
  <si>
    <t>DEVELOPMENT OF TRAINING MODULES FOR UPPER PRIMARY LEVEL</t>
  </si>
  <si>
    <t>Workshop for module development (MR/HBE) for teacher training and RBC.</t>
  </si>
  <si>
    <t>Workshop for module development of HBEP/Vocational training</t>
  </si>
  <si>
    <t>Monthly/quarterly meeting of Co-ordinators/resource teachers/ SRG/NGOs</t>
  </si>
  <si>
    <t>Total</t>
  </si>
  <si>
    <t xml:space="preserve">Cap. Buil. of MTs/SRGs/DRGs </t>
  </si>
  <si>
    <t>Exposure Visit/Study Tour of Gender Co-ordinator/DRG Etc.</t>
  </si>
  <si>
    <t xml:space="preserve">Seminar/Confrence /Workshop </t>
  </si>
  <si>
    <t>Remarks</t>
  </si>
  <si>
    <t>{Rs. in Lakh)</t>
  </si>
  <si>
    <t>COMPONENT : MINORITY INTERVENTION</t>
  </si>
  <si>
    <t>Workshop on sensitization of Coordinator</t>
  </si>
  <si>
    <t>One day coordinator meeting</t>
  </si>
  <si>
    <t>Contingency/operating Expenses</t>
  </si>
  <si>
    <t>Material/Poster/folder development/Printer</t>
  </si>
  <si>
    <t>Workshop/Training for DRG/CRP</t>
  </si>
  <si>
    <t>Convergance meeting with Social welfare etc.</t>
  </si>
  <si>
    <t>Exposure Visit</t>
  </si>
  <si>
    <t>Monitor of activity conducted in district</t>
  </si>
  <si>
    <t>Formation of AWP&amp;B</t>
  </si>
  <si>
    <t>SCHOOL MAPPING</t>
  </si>
  <si>
    <t>COMPONENT : EDUCATION FOR URBAN CHILDREN</t>
  </si>
  <si>
    <t>Convergane meeting with social welfare dept. and other concern</t>
  </si>
  <si>
    <t>Workshop/Training for Co-ordinator/DRG</t>
  </si>
  <si>
    <t>Monitoring of activities and over site conducted in districts</t>
  </si>
  <si>
    <t>MINORITY INTERVENTION</t>
  </si>
  <si>
    <t>EDUCATION FOR URBAN CHILDREN</t>
  </si>
  <si>
    <t>Training to MTs</t>
  </si>
  <si>
    <t>Development of Training Module</t>
  </si>
  <si>
    <t>Development of e-TLMs including workshop</t>
  </si>
  <si>
    <t>TRAINING OF HEAD MASTERS</t>
  </si>
  <si>
    <t xml:space="preserve">DEVELOPMENT &amp; PRINTING OF CCE MODULE/GUIDELINE </t>
  </si>
  <si>
    <t>DEVELOPMENT OF PERFORMANCE INDICATORS</t>
  </si>
  <si>
    <t>MONTHLY REFLECTION/MEETING/WORKSHOP</t>
  </si>
  <si>
    <t>Monitoring &amp; Academic Support of KGBVs</t>
  </si>
  <si>
    <t>Meeting of SRGs/DRGs/BRGs</t>
  </si>
  <si>
    <t>Migration mapping of Migrantion effected Blocks,Districts</t>
  </si>
  <si>
    <t>Seminar/Conference/Workshop/ Planning Meeting at State</t>
  </si>
  <si>
    <t>WORKSHOP/MEETING/STATUTORY MEETING</t>
  </si>
  <si>
    <t>TRG. AND CAPACITY BUILDING OF EDUCATIONAL ADMINISTRATORS &amp; BEP PERSONNEL &amp; DEVELOPING EFFECTING RESOURCE TEAM</t>
  </si>
  <si>
    <t>STUDY TOUR OF PERSONNEL</t>
  </si>
  <si>
    <t>PUBLICATION OF APPOINTMENT/PROCUREMENT ADVT.IN NEWSPAPER &amp; EPENDITURE RELATING TO RECRUITMENT</t>
  </si>
  <si>
    <t>Awareness Campaign in respect of RTE (Shiksha Adhikar Yatra)</t>
  </si>
  <si>
    <t>Telecast Fee (Regional Channel) SPOT</t>
  </si>
  <si>
    <t>Telecast Fee (Regional Channel) BUGS</t>
  </si>
  <si>
    <t>Honorarium of Resource Group Persons</t>
  </si>
  <si>
    <t>DEVELOPMENT OF TRAINERS</t>
  </si>
  <si>
    <t xml:space="preserve">REVISION OF CURRICULUM AND TEXTBOOKS </t>
  </si>
  <si>
    <t>PRINTING OF MODULES/FORMATS AND IEC MATERIALS</t>
  </si>
  <si>
    <t xml:space="preserve">Contingency/Operating Expenses/Seminar/Conference/Workshop </t>
  </si>
  <si>
    <t>Procurement of e-TLMs/e-contents</t>
  </si>
  <si>
    <t>Capicity Building of Education Functionaries on RTE</t>
  </si>
  <si>
    <t>Development and Printing of Module/Guideline/Resource Material Etc.</t>
  </si>
  <si>
    <t>PROCUREMENT OF ADT/AUTO CAD SOFTWARE AND DAWING PRINTER</t>
  </si>
  <si>
    <t>PREPRATION OF WORKING DRAWING OF ACR &amp; NSB ETC.</t>
  </si>
  <si>
    <t>MEETING/MONITORING FIELD VISIT &amp; QUALITY CONTROL BY SRG MEMBERS</t>
  </si>
  <si>
    <t>Orientation of State Gender Resource Group</t>
  </si>
  <si>
    <t>Development of module for gender training</t>
  </si>
  <si>
    <t>Meena Initiative - Organisation of Camps</t>
  </si>
  <si>
    <t>Documentation of success stories</t>
  </si>
  <si>
    <t>Workshop/Seminar on RTE</t>
  </si>
  <si>
    <t>Others (Monthly Meeting/Contigency/Operating Expenses Etc.)</t>
  </si>
  <si>
    <t>PROCUREMENT - SOFTWARE (TALLY PACKAGE FOR BLOCKS) &amp; CUSTOMISATION</t>
  </si>
  <si>
    <t>District Level Office</t>
  </si>
  <si>
    <t>S. No.</t>
  </si>
  <si>
    <t>Major Areas/Activities</t>
  </si>
  <si>
    <t>TELEPHONE/FAX/BROAD BAND/INTERNET RENTALS/ CUG INCLUDING CALL CHARGES</t>
  </si>
  <si>
    <t xml:space="preserve">INSURANCE/EXGRATIA ON DEATH AND PARMANENT DIASABILITY/OTHER </t>
  </si>
  <si>
    <t>STRENGTHENING/ADDITION AND ALTERATION/ MAINTENANCE OF STATE LEVEL OFFICE</t>
  </si>
  <si>
    <t>COMPONENT : AIE</t>
  </si>
  <si>
    <t>Monitoring of RSTC/NRSTC</t>
  </si>
  <si>
    <t>REVISION AND PRINTING OF MODULES/OTHER SUBJECT OF UP CLASSES</t>
  </si>
  <si>
    <t>Awareness Programme for EBBs Block</t>
  </si>
  <si>
    <t>Awareness Programme for SFDs Disstrict</t>
  </si>
  <si>
    <t>Awareness Programme for Grievance redressal system</t>
  </si>
  <si>
    <t>Advertisement/Publicity for RTE Anthem (Hindi and Bhojpuri Version)</t>
  </si>
  <si>
    <t>Tarang - State Level Event</t>
  </si>
  <si>
    <t>Uddan - Mela of CWSN</t>
  </si>
  <si>
    <t>FACILITY FOR TELE - CONFERENCING UPTO DISTRICT/BLOCK LEVEL</t>
  </si>
  <si>
    <t>Operating &amp; Monitoring Cost of Singal MIS System</t>
  </si>
  <si>
    <t>Salary / MR to Staff</t>
  </si>
  <si>
    <t>Consumable Office Expenses, TA/DA,Office Equipment and MIS</t>
  </si>
  <si>
    <t>Insurance Expenses</t>
  </si>
  <si>
    <t>Rent, Rates &amp; Taxes</t>
  </si>
  <si>
    <t>Repair &amp; Maintenance of Equipments</t>
  </si>
  <si>
    <t>POL/Hiring of Vehicle</t>
  </si>
  <si>
    <t>Telephone Expenses and Internet</t>
  </si>
  <si>
    <t>Consultancy Charges Including Audit Fees</t>
  </si>
  <si>
    <t xml:space="preserve">Capacity building, Workshops and Planning </t>
  </si>
  <si>
    <t>Expenditure</t>
  </si>
  <si>
    <t>Salary / MR to Staff-Block</t>
  </si>
  <si>
    <t>Resource Support to Community Mobilisation (VSS)</t>
  </si>
  <si>
    <t>Recommendation</t>
  </si>
  <si>
    <t>Cost Table : AWP &amp; B 2016-17 of State Component (Bihar)</t>
  </si>
  <si>
    <t>Approved AWP &amp; B  2015-16</t>
  </si>
  <si>
    <t>Spill Over for 2016-17</t>
  </si>
  <si>
    <t>Fresh Proposal for  2016-17</t>
  </si>
  <si>
    <t>Total AWP &amp; B  2016-17</t>
  </si>
  <si>
    <t xml:space="preserve">ELECTRICITY/WATER CHARGES/BUILDING TAX AND ANY OTHER TAXES </t>
  </si>
  <si>
    <t>INTERNAL/STATUTORY AUDIT</t>
  </si>
  <si>
    <t>Compensation for Severe Casualities to surgically corrected children</t>
  </si>
  <si>
    <t xml:space="preserve">Reflection Meeting of Wardens and others </t>
  </si>
  <si>
    <t>Printing of information brochure/Magazine/Modules</t>
  </si>
  <si>
    <t>Workshop/training on cross disability to Resource Teacher/Resource Persons</t>
  </si>
  <si>
    <t>Documentation of IE Activities</t>
  </si>
  <si>
    <t>Convergance meeting with Social welfare &amp; Others Departments</t>
  </si>
  <si>
    <t>Anticipated Achievement of 2015-16 (As on 31.03.2016)</t>
  </si>
  <si>
    <t xml:space="preserve">Awareness on Rastriya Avishkar Abhiyan, Padhe Bharat-Badhe Bharat, Swachh Vidyalaya </t>
  </si>
  <si>
    <t>Media &amp; Publicity, Documentations</t>
  </si>
  <si>
    <t xml:space="preserve">EL/Leave Salary to Staff </t>
  </si>
  <si>
    <t>Workshop to identify discrimination in classroom/ curriculum/ textbook and monitoring of teaching Learning Process &amp; Others</t>
  </si>
  <si>
    <t>OOSC</t>
  </si>
  <si>
    <t>Cost Table : AWP &amp; B 2017-18 of State Component (Bihar)</t>
  </si>
  <si>
    <t>Approved AWP &amp; B  2016-17</t>
  </si>
  <si>
    <t>Anticipated Achievement of 2016-17 (As on 31.03.2017)</t>
  </si>
  <si>
    <t>Spill Over for 2017-18</t>
  </si>
  <si>
    <t>Fresh Proposal for  2017-18</t>
  </si>
  <si>
    <t>Total AWP &amp; B  2017-18</t>
  </si>
  <si>
    <t xml:space="preserve">PURCHASE OF VEHICLE FOR OFFICE USE </t>
  </si>
  <si>
    <t>Cost Table : AWP &amp; B 2017-18 of State Component Plan (Bihar)</t>
  </si>
  <si>
    <t>Proposal 2017-18</t>
  </si>
  <si>
    <t>RESOURCE SUPPORT TO OTHER COMPONENT INCLUDING DISTRICTS/BLOCK OFFICES</t>
  </si>
  <si>
    <t>MONITORING OF EVALUATION/TEACHER TRAINING</t>
  </si>
  <si>
    <t>Resource Support to other Components/Districts/Blocks</t>
  </si>
  <si>
    <t>Development and Maintenance of Software/Apps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</si>
</sst>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"/>
    <numFmt numFmtId="193" formatCode="0.000"/>
    <numFmt numFmtId="194" formatCode="0.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00"/>
    <numFmt numFmtId="202" formatCode="0.00000000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0.0000000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habda 010"/>
      <family val="0"/>
    </font>
    <font>
      <sz val="10"/>
      <color indexed="8"/>
      <name val="Times New Roman"/>
      <family val="1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habda 010"/>
      <family val="0"/>
    </font>
    <font>
      <sz val="10"/>
      <color rgb="FF000000"/>
      <name val="Times New Roman"/>
      <family val="1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95" fontId="4" fillId="0" borderId="10" xfId="0" applyNumberFormat="1" applyFont="1" applyBorder="1" applyAlignment="1">
      <alignment vertical="center" wrapText="1"/>
    </xf>
    <xf numFmtId="195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95" fontId="0" fillId="0" borderId="10" xfId="0" applyNumberFormat="1" applyFont="1" applyBorder="1" applyAlignment="1">
      <alignment vertical="center" wrapText="1"/>
    </xf>
    <xf numFmtId="195" fontId="0" fillId="0" borderId="10" xfId="0" applyNumberForma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195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9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95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95" fontId="4" fillId="0" borderId="10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/>
    </xf>
    <xf numFmtId="195" fontId="1" fillId="0" borderId="10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95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95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95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195" fontId="4" fillId="0" borderId="10" xfId="0" applyNumberFormat="1" applyFont="1" applyBorder="1" applyAlignment="1">
      <alignment horizontal="right" vertical="center"/>
    </xf>
    <xf numFmtId="195" fontId="1" fillId="0" borderId="0" xfId="0" applyNumberFormat="1" applyFont="1" applyAlignment="1">
      <alignment vertical="center"/>
    </xf>
    <xf numFmtId="193" fontId="4" fillId="0" borderId="10" xfId="0" applyNumberFormat="1" applyFont="1" applyBorder="1" applyAlignment="1">
      <alignment horizontal="right" vertical="center" wrapText="1"/>
    </xf>
    <xf numFmtId="193" fontId="1" fillId="0" borderId="10" xfId="0" applyNumberFormat="1" applyFont="1" applyBorder="1" applyAlignment="1">
      <alignment vertical="center"/>
    </xf>
    <xf numFmtId="193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95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195" fontId="4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95" fontId="0" fillId="0" borderId="10" xfId="0" applyNumberFormat="1" applyFont="1" applyFill="1" applyBorder="1" applyAlignment="1">
      <alignment vertical="center"/>
    </xf>
    <xf numFmtId="195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5" fontId="5" fillId="0" borderId="10" xfId="0" applyNumberFormat="1" applyFont="1" applyFill="1" applyBorder="1" applyAlignment="1">
      <alignment vertical="center"/>
    </xf>
    <xf numFmtId="194" fontId="0" fillId="0" borderId="10" xfId="0" applyNumberFormat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95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95" fontId="4" fillId="0" borderId="0" xfId="0" applyNumberFormat="1" applyFont="1" applyAlignment="1">
      <alignment vertical="center"/>
    </xf>
    <xf numFmtId="195" fontId="4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top" wrapText="1"/>
    </xf>
    <xf numFmtId="193" fontId="11" fillId="0" borderId="10" xfId="0" applyNumberFormat="1" applyFont="1" applyBorder="1" applyAlignment="1">
      <alignment horizontal="right" vertical="top" wrapText="1"/>
    </xf>
    <xf numFmtId="193" fontId="0" fillId="0" borderId="0" xfId="0" applyNumberFormat="1" applyAlignment="1">
      <alignment/>
    </xf>
    <xf numFmtId="193" fontId="9" fillId="33" borderId="10" xfId="0" applyNumberFormat="1" applyFont="1" applyFill="1" applyBorder="1" applyAlignment="1">
      <alignment horizontal="right" vertical="top" wrapText="1"/>
    </xf>
    <xf numFmtId="195" fontId="5" fillId="0" borderId="10" xfId="0" applyNumberFormat="1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195" fontId="5" fillId="3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justify"/>
    </xf>
    <xf numFmtId="1" fontId="0" fillId="0" borderId="10" xfId="0" applyNumberFormat="1" applyFont="1" applyBorder="1" applyAlignment="1">
      <alignment vertical="center" wrapText="1"/>
    </xf>
    <xf numFmtId="195" fontId="0" fillId="0" borderId="10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95" fontId="1" fillId="0" borderId="10" xfId="0" applyNumberFormat="1" applyFont="1" applyBorder="1" applyAlignment="1">
      <alignment vertical="center" wrapText="1"/>
    </xf>
    <xf numFmtId="195" fontId="0" fillId="0" borderId="10" xfId="0" applyNumberFormat="1" applyFont="1" applyFill="1" applyBorder="1" applyAlignment="1">
      <alignment vertical="center" wrapText="1"/>
    </xf>
    <xf numFmtId="195" fontId="0" fillId="0" borderId="10" xfId="0" applyNumberFormat="1" applyFont="1" applyFill="1" applyBorder="1" applyAlignment="1">
      <alignment vertical="center"/>
    </xf>
    <xf numFmtId="195" fontId="0" fillId="34" borderId="10" xfId="0" applyNumberFormat="1" applyFont="1" applyFill="1" applyBorder="1" applyAlignment="1">
      <alignment vertical="center" wrapText="1"/>
    </xf>
    <xf numFmtId="195" fontId="0" fillId="34" borderId="10" xfId="0" applyNumberFormat="1" applyFont="1" applyFill="1" applyBorder="1" applyAlignment="1">
      <alignment vertical="center"/>
    </xf>
    <xf numFmtId="194" fontId="0" fillId="0" borderId="10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vertical="center"/>
    </xf>
    <xf numFmtId="195" fontId="4" fillId="33" borderId="10" xfId="0" applyNumberFormat="1" applyFont="1" applyFill="1" applyBorder="1" applyAlignment="1">
      <alignment vertical="center"/>
    </xf>
    <xf numFmtId="195" fontId="1" fillId="33" borderId="10" xfId="0" applyNumberFormat="1" applyFont="1" applyFill="1" applyBorder="1" applyAlignment="1">
      <alignment vertical="center"/>
    </xf>
    <xf numFmtId="195" fontId="0" fillId="33" borderId="10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195" fontId="4" fillId="33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33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 vertical="top" wrapText="1"/>
    </xf>
    <xf numFmtId="195" fontId="4" fillId="35" borderId="10" xfId="0" applyNumberFormat="1" applyFont="1" applyFill="1" applyBorder="1" applyAlignment="1">
      <alignment vertical="center"/>
    </xf>
    <xf numFmtId="195" fontId="4" fillId="35" borderId="10" xfId="0" applyNumberFormat="1" applyFont="1" applyFill="1" applyBorder="1" applyAlignment="1">
      <alignment vertical="center"/>
    </xf>
    <xf numFmtId="195" fontId="0" fillId="33" borderId="10" xfId="0" applyNumberFormat="1" applyFont="1" applyFill="1" applyBorder="1" applyAlignment="1">
      <alignment vertical="center" wrapText="1"/>
    </xf>
    <xf numFmtId="192" fontId="0" fillId="0" borderId="10" xfId="0" applyNumberFormat="1" applyBorder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193" fontId="11" fillId="0" borderId="0" xfId="0" applyNumberFormat="1" applyFont="1" applyBorder="1" applyAlignment="1">
      <alignment horizontal="right" vertical="top" wrapText="1"/>
    </xf>
    <xf numFmtId="195" fontId="0" fillId="0" borderId="0" xfId="0" applyNumberFormat="1" applyAlignment="1">
      <alignment/>
    </xf>
    <xf numFmtId="193" fontId="9" fillId="33" borderId="10" xfId="0" applyNumberFormat="1" applyFont="1" applyFill="1" applyBorder="1" applyAlignment="1">
      <alignment horizontal="right" vertical="center" wrapText="1"/>
    </xf>
    <xf numFmtId="193" fontId="11" fillId="0" borderId="10" xfId="0" applyNumberFormat="1" applyFont="1" applyBorder="1" applyAlignment="1">
      <alignment horizontal="right" vertical="center" wrapText="1"/>
    </xf>
    <xf numFmtId="193" fontId="11" fillId="33" borderId="10" xfId="0" applyNumberFormat="1" applyFont="1" applyFill="1" applyBorder="1" applyAlignment="1">
      <alignment horizontal="right" vertical="center" wrapText="1"/>
    </xf>
    <xf numFmtId="195" fontId="5" fillId="33" borderId="10" xfId="0" applyNumberFormat="1" applyFont="1" applyFill="1" applyBorder="1" applyAlignment="1">
      <alignment vertical="center"/>
    </xf>
    <xf numFmtId="195" fontId="53" fillId="0" borderId="10" xfId="0" applyNumberFormat="1" applyFont="1" applyBorder="1" applyAlignment="1">
      <alignment vertical="center"/>
    </xf>
    <xf numFmtId="195" fontId="54" fillId="0" borderId="10" xfId="0" applyNumberFormat="1" applyFont="1" applyBorder="1" applyAlignment="1">
      <alignment vertical="center"/>
    </xf>
    <xf numFmtId="193" fontId="53" fillId="0" borderId="10" xfId="0" applyNumberFormat="1" applyFont="1" applyBorder="1" applyAlignment="1">
      <alignment vertical="center"/>
    </xf>
    <xf numFmtId="195" fontId="53" fillId="0" borderId="10" xfId="0" applyNumberFormat="1" applyFont="1" applyBorder="1" applyAlignment="1">
      <alignment horizontal="right" vertical="center"/>
    </xf>
    <xf numFmtId="0" fontId="52" fillId="34" borderId="10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/>
    </xf>
    <xf numFmtId="0" fontId="9" fillId="34" borderId="10" xfId="0" applyFont="1" applyFill="1" applyBorder="1" applyAlignment="1">
      <alignment horizontal="justify" vertical="top" wrapText="1"/>
    </xf>
    <xf numFmtId="193" fontId="9" fillId="34" borderId="10" xfId="0" applyNumberFormat="1" applyFont="1" applyFill="1" applyBorder="1" applyAlignment="1">
      <alignment horizontal="right" vertical="center" wrapText="1"/>
    </xf>
    <xf numFmtId="200" fontId="0" fillId="0" borderId="0" xfId="0" applyNumberFormat="1" applyAlignment="1">
      <alignment/>
    </xf>
    <xf numFmtId="0" fontId="0" fillId="0" borderId="10" xfId="0" applyFont="1" applyBorder="1" applyAlignment="1">
      <alignment vertical="top" wrapText="1"/>
    </xf>
    <xf numFmtId="195" fontId="11" fillId="0" borderId="10" xfId="0" applyNumberFormat="1" applyFont="1" applyBorder="1" applyAlignment="1">
      <alignment horizontal="righ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21"/>
  <sheetViews>
    <sheetView zoomScale="75" zoomScaleNormal="75" zoomScalePageLayoutView="0" workbookViewId="0" topLeftCell="A1">
      <selection activeCell="M17" sqref="M17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28125" style="22" bestFit="1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1.8515625" style="22" customWidth="1"/>
    <col min="10" max="10" width="12.00390625" style="22" customWidth="1"/>
    <col min="11" max="11" width="9.28125" style="22" bestFit="1" customWidth="1"/>
    <col min="12" max="12" width="11.140625" style="22" customWidth="1"/>
    <col min="13" max="13" width="9.28125" style="22" bestFit="1" customWidth="1"/>
    <col min="14" max="14" width="12.00390625" style="22" customWidth="1"/>
    <col min="15" max="15" width="14.7109375" style="22" hidden="1" customWidth="1"/>
    <col min="16" max="16" width="0" style="22" hidden="1" customWidth="1"/>
    <col min="17" max="16384" width="9.140625" style="22" customWidth="1"/>
  </cols>
  <sheetData>
    <row r="1" spans="1:14" ht="15">
      <c r="A1" s="141" t="s">
        <v>226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4</v>
      </c>
    </row>
    <row r="4" ht="12.75">
      <c r="O4" s="22" t="s">
        <v>123</v>
      </c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8" t="s">
        <v>228</v>
      </c>
      <c r="G5" s="138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8"/>
      <c r="G6" s="138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86" t="s">
        <v>0</v>
      </c>
      <c r="G7" s="8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34" customFormat="1" ht="12.75">
      <c r="A8" s="45" t="s">
        <v>5</v>
      </c>
      <c r="B8" s="33"/>
      <c r="C8" s="33"/>
      <c r="D8" s="4">
        <v>1</v>
      </c>
      <c r="E8" s="28">
        <v>2</v>
      </c>
      <c r="F8" s="30"/>
      <c r="G8" s="115">
        <v>1</v>
      </c>
      <c r="H8" s="30"/>
      <c r="I8" s="27">
        <f>E8-G8</f>
        <v>1</v>
      </c>
      <c r="J8" s="27"/>
      <c r="K8" s="4">
        <v>1</v>
      </c>
      <c r="L8" s="10">
        <v>2</v>
      </c>
      <c r="M8" s="30">
        <f aca="true" t="shared" si="0" ref="M8:M20">+K8</f>
        <v>1</v>
      </c>
      <c r="N8" s="28">
        <f>J8+L8</f>
        <v>2</v>
      </c>
      <c r="O8" s="28">
        <f>N8</f>
        <v>2</v>
      </c>
      <c r="P8" s="33"/>
    </row>
    <row r="9" spans="1:16" s="34" customFormat="1" ht="38.25">
      <c r="A9" s="45" t="s">
        <v>6</v>
      </c>
      <c r="B9" s="35"/>
      <c r="C9" s="35"/>
      <c r="D9" s="4">
        <v>1</v>
      </c>
      <c r="E9" s="28">
        <v>2.5</v>
      </c>
      <c r="F9" s="35"/>
      <c r="G9" s="116">
        <v>0.594</v>
      </c>
      <c r="H9" s="35"/>
      <c r="I9" s="27">
        <f aca="true" t="shared" si="1" ref="I9:I20">E9-G9</f>
        <v>1.9060000000000001</v>
      </c>
      <c r="J9" s="27"/>
      <c r="K9" s="4">
        <v>1</v>
      </c>
      <c r="L9" s="10">
        <v>2.5</v>
      </c>
      <c r="M9" s="30">
        <f t="shared" si="0"/>
        <v>1</v>
      </c>
      <c r="N9" s="28">
        <f aca="true" t="shared" si="2" ref="N9:N20">J9+L9</f>
        <v>2.5</v>
      </c>
      <c r="O9" s="28">
        <f aca="true" t="shared" si="3" ref="O9:O20">N9</f>
        <v>2.5</v>
      </c>
      <c r="P9" s="33"/>
    </row>
    <row r="10" spans="1:16" ht="25.5">
      <c r="A10" s="45" t="s">
        <v>94</v>
      </c>
      <c r="B10" s="2"/>
      <c r="C10" s="2"/>
      <c r="D10" s="4">
        <v>1</v>
      </c>
      <c r="E10" s="28">
        <v>3</v>
      </c>
      <c r="F10" s="2"/>
      <c r="G10" s="115">
        <v>1</v>
      </c>
      <c r="H10" s="2"/>
      <c r="I10" s="27">
        <f t="shared" si="1"/>
        <v>2</v>
      </c>
      <c r="J10" s="27"/>
      <c r="K10" s="4">
        <v>1</v>
      </c>
      <c r="L10" s="10">
        <v>3</v>
      </c>
      <c r="M10" s="30">
        <f t="shared" si="0"/>
        <v>1</v>
      </c>
      <c r="N10" s="28">
        <f t="shared" si="2"/>
        <v>3</v>
      </c>
      <c r="O10" s="28">
        <f t="shared" si="3"/>
        <v>3</v>
      </c>
      <c r="P10" s="2"/>
    </row>
    <row r="11" spans="1:16" ht="25.5">
      <c r="A11" s="45" t="s">
        <v>95</v>
      </c>
      <c r="B11" s="2"/>
      <c r="C11" s="2"/>
      <c r="D11" s="4">
        <v>1</v>
      </c>
      <c r="E11" s="28">
        <v>2</v>
      </c>
      <c r="F11" s="2"/>
      <c r="G11" s="115">
        <v>1.07017</v>
      </c>
      <c r="H11" s="2"/>
      <c r="I11" s="27">
        <f t="shared" si="1"/>
        <v>0.9298299999999999</v>
      </c>
      <c r="J11" s="27"/>
      <c r="K11" s="4">
        <v>1</v>
      </c>
      <c r="L11" s="10">
        <v>2</v>
      </c>
      <c r="M11" s="30">
        <f t="shared" si="0"/>
        <v>1</v>
      </c>
      <c r="N11" s="28">
        <f t="shared" si="2"/>
        <v>2</v>
      </c>
      <c r="O11" s="28">
        <f t="shared" si="3"/>
        <v>2</v>
      </c>
      <c r="P11" s="2"/>
    </row>
    <row r="12" spans="1:16" ht="12.75">
      <c r="A12" s="45" t="s">
        <v>96</v>
      </c>
      <c r="B12" s="2"/>
      <c r="C12" s="2"/>
      <c r="D12" s="4">
        <v>1</v>
      </c>
      <c r="E12" s="28">
        <v>1</v>
      </c>
      <c r="F12" s="2"/>
      <c r="G12" s="115"/>
      <c r="H12" s="2"/>
      <c r="I12" s="27">
        <f t="shared" si="1"/>
        <v>1</v>
      </c>
      <c r="J12" s="27"/>
      <c r="K12" s="4">
        <v>1</v>
      </c>
      <c r="L12" s="10">
        <v>1</v>
      </c>
      <c r="M12" s="30">
        <f t="shared" si="0"/>
        <v>1</v>
      </c>
      <c r="N12" s="28">
        <f t="shared" si="2"/>
        <v>1</v>
      </c>
      <c r="O12" s="28">
        <f t="shared" si="3"/>
        <v>1</v>
      </c>
      <c r="P12" s="2"/>
    </row>
    <row r="13" spans="1:16" ht="25.5">
      <c r="A13" s="45" t="s">
        <v>7</v>
      </c>
      <c r="B13" s="2"/>
      <c r="C13" s="2"/>
      <c r="D13" s="4">
        <v>1</v>
      </c>
      <c r="E13" s="28">
        <v>2.5</v>
      </c>
      <c r="F13" s="2"/>
      <c r="G13" s="115">
        <v>1.51382</v>
      </c>
      <c r="H13" s="2"/>
      <c r="I13" s="27">
        <f t="shared" si="1"/>
        <v>0.9861800000000001</v>
      </c>
      <c r="J13" s="27"/>
      <c r="K13" s="4">
        <v>1</v>
      </c>
      <c r="L13" s="10">
        <v>2.5</v>
      </c>
      <c r="M13" s="30">
        <f t="shared" si="0"/>
        <v>1</v>
      </c>
      <c r="N13" s="28">
        <f t="shared" si="2"/>
        <v>2.5</v>
      </c>
      <c r="O13" s="28">
        <f t="shared" si="3"/>
        <v>2.5</v>
      </c>
      <c r="P13" s="2"/>
    </row>
    <row r="14" spans="1:16" ht="25.5">
      <c r="A14" s="45" t="s">
        <v>8</v>
      </c>
      <c r="B14" s="2"/>
      <c r="C14" s="2"/>
      <c r="D14" s="4">
        <v>1</v>
      </c>
      <c r="E14" s="28">
        <v>3</v>
      </c>
      <c r="F14" s="2"/>
      <c r="G14" s="115">
        <v>0.22472</v>
      </c>
      <c r="H14" s="2"/>
      <c r="I14" s="27">
        <f t="shared" si="1"/>
        <v>2.77528</v>
      </c>
      <c r="J14" s="27"/>
      <c r="K14" s="4">
        <v>1</v>
      </c>
      <c r="L14" s="10">
        <v>3</v>
      </c>
      <c r="M14" s="30">
        <f t="shared" si="0"/>
        <v>1</v>
      </c>
      <c r="N14" s="28">
        <f t="shared" si="2"/>
        <v>3</v>
      </c>
      <c r="O14" s="28">
        <f t="shared" si="3"/>
        <v>3</v>
      </c>
      <c r="P14" s="2"/>
    </row>
    <row r="15" spans="1:16" ht="38.25">
      <c r="A15" s="45" t="s">
        <v>151</v>
      </c>
      <c r="B15" s="2"/>
      <c r="C15" s="2"/>
      <c r="D15" s="4">
        <v>1</v>
      </c>
      <c r="E15" s="28">
        <v>2</v>
      </c>
      <c r="F15" s="2"/>
      <c r="G15" s="116">
        <v>0</v>
      </c>
      <c r="H15" s="2"/>
      <c r="I15" s="27">
        <f t="shared" si="1"/>
        <v>2</v>
      </c>
      <c r="J15" s="27"/>
      <c r="K15" s="4">
        <v>1</v>
      </c>
      <c r="L15" s="10">
        <v>2</v>
      </c>
      <c r="M15" s="30">
        <f t="shared" si="0"/>
        <v>1</v>
      </c>
      <c r="N15" s="28">
        <f t="shared" si="2"/>
        <v>2</v>
      </c>
      <c r="O15" s="28">
        <f t="shared" si="3"/>
        <v>2</v>
      </c>
      <c r="P15" s="2"/>
    </row>
    <row r="16" spans="1:16" ht="25.5">
      <c r="A16" s="45" t="s">
        <v>97</v>
      </c>
      <c r="B16" s="2"/>
      <c r="C16" s="2"/>
      <c r="D16" s="4">
        <v>1</v>
      </c>
      <c r="E16" s="28">
        <v>3</v>
      </c>
      <c r="F16" s="2"/>
      <c r="G16" s="115">
        <v>0.097</v>
      </c>
      <c r="H16" s="2"/>
      <c r="I16" s="27">
        <f t="shared" si="1"/>
        <v>2.903</v>
      </c>
      <c r="J16" s="27"/>
      <c r="K16" s="4">
        <v>1</v>
      </c>
      <c r="L16" s="10">
        <v>3</v>
      </c>
      <c r="M16" s="30">
        <f t="shared" si="0"/>
        <v>1</v>
      </c>
      <c r="N16" s="28">
        <f t="shared" si="2"/>
        <v>3</v>
      </c>
      <c r="O16" s="28">
        <f t="shared" si="3"/>
        <v>3</v>
      </c>
      <c r="P16" s="2"/>
    </row>
    <row r="17" spans="1:16" ht="41.25" customHeight="1">
      <c r="A17" s="136" t="s">
        <v>238</v>
      </c>
      <c r="B17" s="2"/>
      <c r="C17" s="2"/>
      <c r="D17" s="4"/>
      <c r="E17" s="28"/>
      <c r="F17" s="2"/>
      <c r="G17" s="115"/>
      <c r="H17" s="2"/>
      <c r="I17" s="27">
        <f>E17-G17</f>
        <v>0</v>
      </c>
      <c r="J17" s="27"/>
      <c r="K17" s="4">
        <v>1</v>
      </c>
      <c r="L17" s="10">
        <v>20</v>
      </c>
      <c r="M17" s="30">
        <f>+K17</f>
        <v>1</v>
      </c>
      <c r="N17" s="28">
        <f>J17+L17</f>
        <v>20</v>
      </c>
      <c r="O17" s="28"/>
      <c r="P17" s="2"/>
    </row>
    <row r="18" spans="1:16" ht="38.25">
      <c r="A18" s="45" t="s">
        <v>98</v>
      </c>
      <c r="B18" s="2"/>
      <c r="C18" s="2"/>
      <c r="D18" s="4">
        <v>1</v>
      </c>
      <c r="E18" s="28">
        <v>4</v>
      </c>
      <c r="F18" s="2"/>
      <c r="G18" s="115">
        <v>0</v>
      </c>
      <c r="H18" s="2"/>
      <c r="I18" s="27">
        <f t="shared" si="1"/>
        <v>4</v>
      </c>
      <c r="J18" s="27"/>
      <c r="K18" s="4">
        <v>1</v>
      </c>
      <c r="L18" s="10">
        <v>4</v>
      </c>
      <c r="M18" s="30">
        <f t="shared" si="0"/>
        <v>1</v>
      </c>
      <c r="N18" s="28">
        <f t="shared" si="2"/>
        <v>4</v>
      </c>
      <c r="O18" s="28">
        <f t="shared" si="3"/>
        <v>4</v>
      </c>
      <c r="P18" s="2"/>
    </row>
    <row r="19" spans="1:16" ht="25.5">
      <c r="A19" s="75" t="s">
        <v>193</v>
      </c>
      <c r="B19" s="2"/>
      <c r="C19" s="2"/>
      <c r="D19" s="4">
        <v>1</v>
      </c>
      <c r="E19" s="28">
        <v>4</v>
      </c>
      <c r="F19" s="2"/>
      <c r="G19" s="115">
        <v>0</v>
      </c>
      <c r="H19" s="2"/>
      <c r="I19" s="27">
        <f t="shared" si="1"/>
        <v>4</v>
      </c>
      <c r="J19" s="27"/>
      <c r="K19" s="4">
        <v>1</v>
      </c>
      <c r="L19" s="10">
        <v>4</v>
      </c>
      <c r="M19" s="30">
        <f t="shared" si="0"/>
        <v>1</v>
      </c>
      <c r="N19" s="28">
        <f t="shared" si="2"/>
        <v>4</v>
      </c>
      <c r="O19" s="28">
        <f t="shared" si="3"/>
        <v>4</v>
      </c>
      <c r="P19" s="2"/>
    </row>
    <row r="20" spans="1:16" ht="12.75">
      <c r="A20" s="4" t="s">
        <v>133</v>
      </c>
      <c r="B20" s="2"/>
      <c r="C20" s="2"/>
      <c r="D20" s="4">
        <v>1</v>
      </c>
      <c r="E20" s="28">
        <v>2</v>
      </c>
      <c r="F20" s="2"/>
      <c r="G20" s="115">
        <v>2</v>
      </c>
      <c r="H20" s="2"/>
      <c r="I20" s="27">
        <f t="shared" si="1"/>
        <v>0</v>
      </c>
      <c r="J20" s="27"/>
      <c r="K20" s="4">
        <v>1</v>
      </c>
      <c r="L20" s="10">
        <v>2</v>
      </c>
      <c r="M20" s="30">
        <f t="shared" si="0"/>
        <v>1</v>
      </c>
      <c r="N20" s="28">
        <f t="shared" si="2"/>
        <v>2</v>
      </c>
      <c r="O20" s="28">
        <f t="shared" si="3"/>
        <v>2</v>
      </c>
      <c r="P20" s="2"/>
    </row>
    <row r="21" spans="1:16" ht="12.75">
      <c r="A21" s="55" t="s">
        <v>118</v>
      </c>
      <c r="B21" s="2"/>
      <c r="C21" s="2"/>
      <c r="D21" s="2"/>
      <c r="E21" s="31">
        <f>SUM(E8:E20)</f>
        <v>31</v>
      </c>
      <c r="F21" s="31"/>
      <c r="G21" s="31">
        <f>SUM(G8:G20)</f>
        <v>7.499709999999999</v>
      </c>
      <c r="H21" s="31"/>
      <c r="I21" s="31">
        <f>SUM(I8:I20)</f>
        <v>23.50029</v>
      </c>
      <c r="J21" s="31"/>
      <c r="K21" s="2"/>
      <c r="L21" s="31">
        <f>SUM(L8:L20)</f>
        <v>51</v>
      </c>
      <c r="M21" s="2"/>
      <c r="N21" s="31">
        <f>SUM(N8:N20)</f>
        <v>51</v>
      </c>
      <c r="O21" s="31">
        <f>SUM(O8:O20)</f>
        <v>31</v>
      </c>
      <c r="P21" s="2"/>
    </row>
  </sheetData>
  <sheetProtection/>
  <mergeCells count="12">
    <mergeCell ref="A1:N1"/>
    <mergeCell ref="A5:A7"/>
    <mergeCell ref="B5:B7"/>
    <mergeCell ref="C5:C7"/>
    <mergeCell ref="D5:E6"/>
    <mergeCell ref="F5:G6"/>
    <mergeCell ref="H5:I6"/>
    <mergeCell ref="O5:O6"/>
    <mergeCell ref="P5:P7"/>
    <mergeCell ref="J5:N5"/>
    <mergeCell ref="K6:L6"/>
    <mergeCell ref="M6:N6"/>
  </mergeCells>
  <printOptions horizontalCentered="1"/>
  <pageMargins left="0.38" right="0.25" top="0.79" bottom="1" header="0.5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P18"/>
  <sheetViews>
    <sheetView zoomScalePageLayoutView="0" workbookViewId="0" topLeftCell="A1">
      <selection activeCell="F5" sqref="F5:G6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140625" style="22" customWidth="1"/>
    <col min="12" max="12" width="12.57421875" style="22" customWidth="1"/>
    <col min="13" max="13" width="9.28125" style="22" bestFit="1" customWidth="1"/>
    <col min="14" max="14" width="10.8515625" style="22" customWidth="1"/>
    <col min="15" max="15" width="16.140625" style="22" hidden="1" customWidth="1"/>
    <col min="16" max="16" width="12.7109375" style="22" hidden="1" customWidth="1"/>
    <col min="17" max="16384" width="9.140625" style="22" customWidth="1"/>
  </cols>
  <sheetData>
    <row r="1" spans="1:16" ht="18.75">
      <c r="A1" s="142" t="s">
        <v>226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8" ht="12.75">
      <c r="A3" s="24" t="s">
        <v>26</v>
      </c>
      <c r="B3" s="24"/>
      <c r="C3" s="24"/>
      <c r="D3" s="24"/>
      <c r="E3" s="24"/>
      <c r="F3" s="46" t="s">
        <v>183</v>
      </c>
      <c r="G3" s="47"/>
      <c r="H3" s="47"/>
    </row>
    <row r="4" ht="12.75">
      <c r="O4" s="22" t="s">
        <v>123</v>
      </c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9" t="s">
        <v>228</v>
      </c>
      <c r="G5" s="139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9"/>
      <c r="G6" s="139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25" customFormat="1" ht="12.75">
      <c r="A8" s="12" t="s">
        <v>107</v>
      </c>
      <c r="B8" s="9"/>
      <c r="C8" s="9"/>
      <c r="D8" s="29"/>
      <c r="E8" s="28">
        <v>1.2</v>
      </c>
      <c r="F8" s="4"/>
      <c r="G8" s="102">
        <v>0</v>
      </c>
      <c r="H8" s="4"/>
      <c r="I8" s="27">
        <f>E8-G8</f>
        <v>1.2</v>
      </c>
      <c r="J8" s="27"/>
      <c r="K8" s="29"/>
      <c r="L8" s="13">
        <v>1.2</v>
      </c>
      <c r="M8" s="30"/>
      <c r="N8" s="28">
        <f aca="true" t="shared" si="0" ref="N8:N17">+J8+L8</f>
        <v>1.2</v>
      </c>
      <c r="O8" s="28">
        <f>N8</f>
        <v>1.2</v>
      </c>
      <c r="P8" s="44"/>
    </row>
    <row r="9" spans="1:16" s="25" customFormat="1" ht="27" customHeight="1">
      <c r="A9" s="12" t="s">
        <v>149</v>
      </c>
      <c r="B9" s="9"/>
      <c r="C9" s="9"/>
      <c r="D9" s="29"/>
      <c r="E9" s="28">
        <v>2</v>
      </c>
      <c r="F9" s="4"/>
      <c r="G9" s="102">
        <v>0</v>
      </c>
      <c r="H9" s="4"/>
      <c r="I9" s="27">
        <f aca="true" t="shared" si="1" ref="I9:I17">E9-G9</f>
        <v>2</v>
      </c>
      <c r="J9" s="27"/>
      <c r="K9" s="29"/>
      <c r="L9" s="13">
        <v>2</v>
      </c>
      <c r="M9" s="30"/>
      <c r="N9" s="28">
        <f>+J9+L9</f>
        <v>2</v>
      </c>
      <c r="O9" s="28">
        <f aca="true" t="shared" si="2" ref="O9:O16">N9</f>
        <v>2</v>
      </c>
      <c r="P9" s="44"/>
    </row>
    <row r="10" spans="1:16" s="25" customFormat="1" ht="27" customHeight="1">
      <c r="A10" s="12" t="s">
        <v>184</v>
      </c>
      <c r="B10" s="9"/>
      <c r="C10" s="9"/>
      <c r="D10" s="29"/>
      <c r="E10" s="28">
        <v>20</v>
      </c>
      <c r="F10" s="4"/>
      <c r="G10" s="102">
        <f>1.8787+1.37473</f>
        <v>3.25343</v>
      </c>
      <c r="H10" s="4"/>
      <c r="I10" s="27">
        <v>0</v>
      </c>
      <c r="J10" s="27"/>
      <c r="K10" s="29"/>
      <c r="L10" s="13">
        <v>20</v>
      </c>
      <c r="M10" s="30"/>
      <c r="N10" s="28">
        <f>L10</f>
        <v>20</v>
      </c>
      <c r="O10" s="126">
        <f>N10-10</f>
        <v>10</v>
      </c>
      <c r="P10" s="44"/>
    </row>
    <row r="11" spans="1:16" s="25" customFormat="1" ht="24">
      <c r="A11" s="12" t="s">
        <v>165</v>
      </c>
      <c r="B11" s="9"/>
      <c r="C11" s="9"/>
      <c r="D11" s="29"/>
      <c r="E11" s="28">
        <v>0</v>
      </c>
      <c r="F11" s="4"/>
      <c r="G11" s="102">
        <v>0</v>
      </c>
      <c r="H11" s="4"/>
      <c r="I11" s="27">
        <f t="shared" si="1"/>
        <v>0</v>
      </c>
      <c r="J11" s="27"/>
      <c r="K11" s="29"/>
      <c r="L11" s="13">
        <v>0</v>
      </c>
      <c r="M11" s="30"/>
      <c r="N11" s="28">
        <f t="shared" si="0"/>
        <v>0</v>
      </c>
      <c r="O11" s="28">
        <f t="shared" si="2"/>
        <v>0</v>
      </c>
      <c r="P11" s="44"/>
    </row>
    <row r="12" spans="1:16" s="25" customFormat="1" ht="24">
      <c r="A12" s="12" t="s">
        <v>40</v>
      </c>
      <c r="B12" s="9"/>
      <c r="C12" s="9"/>
      <c r="D12" s="29"/>
      <c r="E12" s="28">
        <v>25</v>
      </c>
      <c r="F12" s="4"/>
      <c r="G12" s="102">
        <v>0.2576</v>
      </c>
      <c r="H12" s="4"/>
      <c r="I12" s="27">
        <f t="shared" si="1"/>
        <v>24.7424</v>
      </c>
      <c r="J12" s="27"/>
      <c r="K12" s="29"/>
      <c r="L12" s="13">
        <v>25</v>
      </c>
      <c r="M12" s="30"/>
      <c r="N12" s="28">
        <f t="shared" si="0"/>
        <v>25</v>
      </c>
      <c r="O12" s="126">
        <f>N12-15</f>
        <v>10</v>
      </c>
      <c r="P12" s="44"/>
    </row>
    <row r="13" spans="1:16" s="25" customFormat="1" ht="12.75">
      <c r="A13" s="12" t="s">
        <v>119</v>
      </c>
      <c r="B13" s="9"/>
      <c r="C13" s="9"/>
      <c r="D13" s="29"/>
      <c r="E13" s="28">
        <v>5</v>
      </c>
      <c r="F13" s="4"/>
      <c r="G13" s="102">
        <v>5</v>
      </c>
      <c r="H13" s="4"/>
      <c r="I13" s="27">
        <f t="shared" si="1"/>
        <v>0</v>
      </c>
      <c r="J13" s="27"/>
      <c r="K13" s="29"/>
      <c r="L13" s="13">
        <v>5</v>
      </c>
      <c r="M13" s="30"/>
      <c r="N13" s="28">
        <f t="shared" si="0"/>
        <v>5</v>
      </c>
      <c r="O13" s="28">
        <f t="shared" si="2"/>
        <v>5</v>
      </c>
      <c r="P13" s="44"/>
    </row>
    <row r="14" spans="1:16" s="25" customFormat="1" ht="24">
      <c r="A14" s="12" t="s">
        <v>41</v>
      </c>
      <c r="B14" s="9"/>
      <c r="C14" s="9"/>
      <c r="D14" s="29"/>
      <c r="E14" s="28">
        <v>2</v>
      </c>
      <c r="F14" s="4"/>
      <c r="G14" s="102">
        <v>0</v>
      </c>
      <c r="H14" s="4"/>
      <c r="I14" s="27">
        <f t="shared" si="1"/>
        <v>2</v>
      </c>
      <c r="J14" s="27"/>
      <c r="K14" s="29"/>
      <c r="L14" s="13">
        <v>2</v>
      </c>
      <c r="M14" s="30"/>
      <c r="N14" s="28">
        <f t="shared" si="0"/>
        <v>2</v>
      </c>
      <c r="O14" s="28">
        <f t="shared" si="2"/>
        <v>2</v>
      </c>
      <c r="P14" s="44"/>
    </row>
    <row r="15" spans="1:16" s="25" customFormat="1" ht="24">
      <c r="A15" s="12" t="s">
        <v>121</v>
      </c>
      <c r="B15" s="9"/>
      <c r="C15" s="9"/>
      <c r="D15" s="29"/>
      <c r="E15" s="28">
        <v>5</v>
      </c>
      <c r="F15" s="4"/>
      <c r="G15" s="102">
        <v>0.05201</v>
      </c>
      <c r="H15" s="4"/>
      <c r="I15" s="27">
        <f t="shared" si="1"/>
        <v>4.94799</v>
      </c>
      <c r="J15" s="27"/>
      <c r="K15" s="29"/>
      <c r="L15" s="13">
        <v>5</v>
      </c>
      <c r="M15" s="30"/>
      <c r="N15" s="28">
        <f t="shared" si="0"/>
        <v>5</v>
      </c>
      <c r="O15" s="28">
        <f t="shared" si="2"/>
        <v>5</v>
      </c>
      <c r="P15" s="44"/>
    </row>
    <row r="16" spans="1:16" s="25" customFormat="1" ht="12.75">
      <c r="A16" s="12" t="s">
        <v>42</v>
      </c>
      <c r="B16" s="9"/>
      <c r="C16" s="9"/>
      <c r="D16" s="29"/>
      <c r="E16" s="28">
        <v>2</v>
      </c>
      <c r="F16" s="4"/>
      <c r="G16" s="102">
        <v>0</v>
      </c>
      <c r="H16" s="4"/>
      <c r="I16" s="27">
        <f t="shared" si="1"/>
        <v>2</v>
      </c>
      <c r="J16" s="27"/>
      <c r="K16" s="29"/>
      <c r="L16" s="13">
        <v>2</v>
      </c>
      <c r="M16" s="30"/>
      <c r="N16" s="28">
        <f t="shared" si="0"/>
        <v>2</v>
      </c>
      <c r="O16" s="28">
        <f t="shared" si="2"/>
        <v>2</v>
      </c>
      <c r="P16" s="44"/>
    </row>
    <row r="17" spans="1:16" s="25" customFormat="1" ht="36">
      <c r="A17" s="12" t="s">
        <v>150</v>
      </c>
      <c r="B17" s="9"/>
      <c r="C17" s="9"/>
      <c r="D17" s="29"/>
      <c r="E17" s="28">
        <v>5</v>
      </c>
      <c r="F17" s="4"/>
      <c r="G17" s="102">
        <v>0</v>
      </c>
      <c r="H17" s="4"/>
      <c r="I17" s="27">
        <f t="shared" si="1"/>
        <v>5</v>
      </c>
      <c r="J17" s="27"/>
      <c r="K17" s="29"/>
      <c r="L17" s="13">
        <v>5</v>
      </c>
      <c r="M17" s="30"/>
      <c r="N17" s="28">
        <f t="shared" si="0"/>
        <v>5</v>
      </c>
      <c r="O17" s="126">
        <f>N17-2</f>
        <v>3</v>
      </c>
      <c r="P17" s="44"/>
    </row>
    <row r="18" spans="1:16" ht="12.75">
      <c r="A18" s="63" t="s">
        <v>52</v>
      </c>
      <c r="B18" s="63"/>
      <c r="C18" s="63"/>
      <c r="D18" s="31"/>
      <c r="E18" s="31">
        <v>67.2</v>
      </c>
      <c r="F18" s="31"/>
      <c r="G18" s="31">
        <f>SUM(G8:G17)</f>
        <v>8.563039999999999</v>
      </c>
      <c r="H18" s="31"/>
      <c r="I18" s="31">
        <f>SUM(I8:I17)</f>
        <v>41.89039</v>
      </c>
      <c r="J18" s="31"/>
      <c r="K18" s="31"/>
      <c r="L18" s="31">
        <f>SUM(L8:L17)</f>
        <v>67.2</v>
      </c>
      <c r="M18" s="31"/>
      <c r="N18" s="31">
        <f>SUM(N8:N17)</f>
        <v>67.2</v>
      </c>
      <c r="O18" s="28">
        <f>SUM(O8:O17)</f>
        <v>40.2</v>
      </c>
      <c r="P18" s="2"/>
    </row>
  </sheetData>
  <sheetProtection/>
  <mergeCells count="12">
    <mergeCell ref="M6:N6"/>
    <mergeCell ref="F5:G6"/>
    <mergeCell ref="H5:I6"/>
    <mergeCell ref="J5:N5"/>
    <mergeCell ref="A1:P1"/>
    <mergeCell ref="A5:A7"/>
    <mergeCell ref="B5:B7"/>
    <mergeCell ref="C5:C7"/>
    <mergeCell ref="D5:E6"/>
    <mergeCell ref="O5:O6"/>
    <mergeCell ref="P5:P7"/>
    <mergeCell ref="K6:L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P16"/>
  <sheetViews>
    <sheetView zoomScalePageLayoutView="0" workbookViewId="0" topLeftCell="A4">
      <selection activeCell="F5" sqref="F5:G6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140625" style="22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6.140625" style="22" hidden="1" customWidth="1"/>
    <col min="16" max="16" width="0" style="22" hidden="1" customWidth="1"/>
    <col min="17" max="16384" width="9.140625" style="22" customWidth="1"/>
  </cols>
  <sheetData>
    <row r="1" spans="1:15" ht="18.75">
      <c r="A1" s="142" t="s">
        <v>226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43</v>
      </c>
    </row>
    <row r="4" ht="12.75">
      <c r="O4" s="22" t="s">
        <v>123</v>
      </c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9" t="s">
        <v>228</v>
      </c>
      <c r="G5" s="139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9"/>
      <c r="G6" s="139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86" t="s">
        <v>0</v>
      </c>
      <c r="G7" s="8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25" customFormat="1" ht="24.75" customHeight="1">
      <c r="A8" s="1" t="s">
        <v>44</v>
      </c>
      <c r="B8" s="9"/>
      <c r="C8" s="9"/>
      <c r="D8" s="16">
        <v>0</v>
      </c>
      <c r="E8" s="48">
        <v>2</v>
      </c>
      <c r="F8" s="20"/>
      <c r="G8" s="107">
        <v>0.1254</v>
      </c>
      <c r="H8" s="20"/>
      <c r="I8" s="49">
        <f aca="true" t="shared" si="0" ref="I8:I15">+E8-G8</f>
        <v>1.8746</v>
      </c>
      <c r="J8" s="49"/>
      <c r="K8" s="16"/>
      <c r="L8" s="11">
        <v>2</v>
      </c>
      <c r="M8" s="72">
        <f aca="true" t="shared" si="1" ref="M8:M14">+K8</f>
        <v>0</v>
      </c>
      <c r="N8" s="48">
        <f aca="true" t="shared" si="2" ref="N8:N15">+J8+L8</f>
        <v>2</v>
      </c>
      <c r="O8" s="48">
        <f>N8</f>
        <v>2</v>
      </c>
      <c r="P8" s="44"/>
    </row>
    <row r="9" spans="1:16" s="25" customFormat="1" ht="34.5" customHeight="1">
      <c r="A9" s="1" t="s">
        <v>45</v>
      </c>
      <c r="B9" s="9"/>
      <c r="C9" s="9"/>
      <c r="D9" s="16">
        <v>0</v>
      </c>
      <c r="E9" s="48">
        <v>4</v>
      </c>
      <c r="F9" s="20"/>
      <c r="G9" s="107">
        <v>2</v>
      </c>
      <c r="H9" s="20"/>
      <c r="I9" s="49">
        <f t="shared" si="0"/>
        <v>2</v>
      </c>
      <c r="J9" s="49"/>
      <c r="K9" s="16"/>
      <c r="L9" s="11">
        <v>4</v>
      </c>
      <c r="M9" s="72">
        <f t="shared" si="1"/>
        <v>0</v>
      </c>
      <c r="N9" s="48">
        <f t="shared" si="2"/>
        <v>4</v>
      </c>
      <c r="O9" s="48">
        <f aca="true" t="shared" si="3" ref="O9:O15">N9</f>
        <v>4</v>
      </c>
      <c r="P9" s="44"/>
    </row>
    <row r="10" spans="1:16" s="25" customFormat="1" ht="33.75" customHeight="1">
      <c r="A10" s="1" t="s">
        <v>46</v>
      </c>
      <c r="B10" s="9"/>
      <c r="C10" s="9"/>
      <c r="D10" s="16">
        <v>0</v>
      </c>
      <c r="E10" s="48">
        <v>5</v>
      </c>
      <c r="F10" s="20"/>
      <c r="G10" s="107">
        <v>0</v>
      </c>
      <c r="H10" s="20"/>
      <c r="I10" s="49">
        <f t="shared" si="0"/>
        <v>5</v>
      </c>
      <c r="J10" s="49"/>
      <c r="K10" s="16"/>
      <c r="L10" s="11">
        <v>5</v>
      </c>
      <c r="M10" s="72">
        <f t="shared" si="1"/>
        <v>0</v>
      </c>
      <c r="N10" s="48">
        <f t="shared" si="2"/>
        <v>5</v>
      </c>
      <c r="O10" s="129">
        <f>N10-1</f>
        <v>4</v>
      </c>
      <c r="P10" s="44"/>
    </row>
    <row r="11" spans="1:16" s="25" customFormat="1" ht="31.5" customHeight="1">
      <c r="A11" s="14" t="s">
        <v>47</v>
      </c>
      <c r="B11" s="9"/>
      <c r="C11" s="9"/>
      <c r="D11" s="16">
        <v>0</v>
      </c>
      <c r="E11" s="48">
        <v>3</v>
      </c>
      <c r="F11" s="20"/>
      <c r="G11" s="107">
        <v>0</v>
      </c>
      <c r="H11" s="20"/>
      <c r="I11" s="49">
        <f t="shared" si="0"/>
        <v>3</v>
      </c>
      <c r="J11" s="49"/>
      <c r="K11" s="16"/>
      <c r="L11" s="11">
        <v>3</v>
      </c>
      <c r="M11" s="72">
        <f t="shared" si="1"/>
        <v>0</v>
      </c>
      <c r="N11" s="48">
        <f t="shared" si="2"/>
        <v>3</v>
      </c>
      <c r="O11" s="129">
        <f>N11-1</f>
        <v>2</v>
      </c>
      <c r="P11" s="44"/>
    </row>
    <row r="12" spans="1:16" s="25" customFormat="1" ht="33" customHeight="1">
      <c r="A12" s="1" t="s">
        <v>111</v>
      </c>
      <c r="B12" s="9"/>
      <c r="C12" s="9"/>
      <c r="D12" s="16">
        <v>0</v>
      </c>
      <c r="E12" s="48">
        <v>3</v>
      </c>
      <c r="F12" s="20"/>
      <c r="G12" s="107">
        <v>0</v>
      </c>
      <c r="H12" s="20"/>
      <c r="I12" s="49">
        <f t="shared" si="0"/>
        <v>3</v>
      </c>
      <c r="J12" s="49"/>
      <c r="K12" s="16"/>
      <c r="L12" s="11">
        <v>3</v>
      </c>
      <c r="M12" s="72">
        <f t="shared" si="1"/>
        <v>0</v>
      </c>
      <c r="N12" s="48">
        <f t="shared" si="2"/>
        <v>3</v>
      </c>
      <c r="O12" s="129">
        <f>N12-1</f>
        <v>2</v>
      </c>
      <c r="P12" s="44"/>
    </row>
    <row r="13" spans="1:16" s="25" customFormat="1" ht="30" customHeight="1">
      <c r="A13" s="1" t="s">
        <v>48</v>
      </c>
      <c r="B13" s="9"/>
      <c r="C13" s="9"/>
      <c r="D13" s="16">
        <v>0</v>
      </c>
      <c r="E13" s="48">
        <v>2.5</v>
      </c>
      <c r="F13" s="20"/>
      <c r="G13" s="107">
        <v>0.50326</v>
      </c>
      <c r="H13" s="20"/>
      <c r="I13" s="49">
        <f t="shared" si="0"/>
        <v>1.99674</v>
      </c>
      <c r="J13" s="49"/>
      <c r="K13" s="16"/>
      <c r="L13" s="11">
        <v>2.5</v>
      </c>
      <c r="M13" s="72">
        <f t="shared" si="1"/>
        <v>0</v>
      </c>
      <c r="N13" s="48">
        <f t="shared" si="2"/>
        <v>2.5</v>
      </c>
      <c r="O13" s="48">
        <f t="shared" si="3"/>
        <v>2.5</v>
      </c>
      <c r="P13" s="44"/>
    </row>
    <row r="14" spans="1:16" s="25" customFormat="1" ht="45" customHeight="1">
      <c r="A14" s="1" t="s">
        <v>49</v>
      </c>
      <c r="B14" s="9"/>
      <c r="C14" s="9"/>
      <c r="D14" s="16">
        <v>0</v>
      </c>
      <c r="E14" s="48">
        <v>2.5</v>
      </c>
      <c r="F14" s="20"/>
      <c r="G14" s="107">
        <v>0</v>
      </c>
      <c r="H14" s="20"/>
      <c r="I14" s="49">
        <f t="shared" si="0"/>
        <v>2.5</v>
      </c>
      <c r="J14" s="49"/>
      <c r="K14" s="16"/>
      <c r="L14" s="11">
        <v>2.5</v>
      </c>
      <c r="M14" s="72">
        <f t="shared" si="1"/>
        <v>0</v>
      </c>
      <c r="N14" s="48">
        <f t="shared" si="2"/>
        <v>2.5</v>
      </c>
      <c r="O14" s="48">
        <f t="shared" si="3"/>
        <v>2.5</v>
      </c>
      <c r="P14" s="44"/>
    </row>
    <row r="15" spans="1:16" s="25" customFormat="1" ht="24.75" customHeight="1">
      <c r="A15" s="6" t="s">
        <v>89</v>
      </c>
      <c r="B15" s="2"/>
      <c r="C15" s="2"/>
      <c r="D15" s="16"/>
      <c r="E15" s="48">
        <v>1</v>
      </c>
      <c r="F15" s="20"/>
      <c r="G15" s="107">
        <v>0.32</v>
      </c>
      <c r="H15" s="20"/>
      <c r="I15" s="49">
        <f t="shared" si="0"/>
        <v>0.6799999999999999</v>
      </c>
      <c r="J15" s="49"/>
      <c r="K15" s="16"/>
      <c r="L15" s="11">
        <v>1</v>
      </c>
      <c r="M15" s="72"/>
      <c r="N15" s="48">
        <f t="shared" si="2"/>
        <v>1</v>
      </c>
      <c r="O15" s="48">
        <f t="shared" si="3"/>
        <v>1</v>
      </c>
      <c r="P15" s="44"/>
    </row>
    <row r="16" spans="1:16" ht="12.75">
      <c r="A16" s="63" t="s">
        <v>52</v>
      </c>
      <c r="B16" s="63"/>
      <c r="C16" s="63"/>
      <c r="D16" s="73"/>
      <c r="E16" s="74">
        <v>23</v>
      </c>
      <c r="F16" s="73"/>
      <c r="G16" s="74">
        <f>SUM(G8:G15)</f>
        <v>2.94866</v>
      </c>
      <c r="H16" s="73"/>
      <c r="I16" s="74">
        <f>SUM(I8:I15)</f>
        <v>20.05134</v>
      </c>
      <c r="J16" s="74">
        <f>SUM(J8:J15)</f>
        <v>0</v>
      </c>
      <c r="K16" s="73"/>
      <c r="L16" s="74">
        <f>SUM(L8:L15)</f>
        <v>23</v>
      </c>
      <c r="M16" s="73"/>
      <c r="N16" s="74">
        <f>SUM(N8:N15)</f>
        <v>23</v>
      </c>
      <c r="O16" s="48">
        <f>SUM(O8:O15)</f>
        <v>20</v>
      </c>
      <c r="P16" s="2"/>
    </row>
  </sheetData>
  <sheetProtection/>
  <mergeCells count="12">
    <mergeCell ref="F5:G6"/>
    <mergeCell ref="H5:I6"/>
    <mergeCell ref="J5:N5"/>
    <mergeCell ref="O5:O6"/>
    <mergeCell ref="K6:L6"/>
    <mergeCell ref="M6:N6"/>
    <mergeCell ref="A1:O1"/>
    <mergeCell ref="P5:P7"/>
    <mergeCell ref="A5:A7"/>
    <mergeCell ref="B5:B7"/>
    <mergeCell ref="C5:C7"/>
    <mergeCell ref="D5:E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P17"/>
  <sheetViews>
    <sheetView zoomScale="75" zoomScaleNormal="75" zoomScalePageLayoutView="0" workbookViewId="0" topLeftCell="A1">
      <selection activeCell="F5" sqref="F5:G6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5742187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1.140625" style="22" customWidth="1"/>
    <col min="13" max="13" width="9.28125" style="22" bestFit="1" customWidth="1"/>
    <col min="14" max="14" width="11.7109375" style="22" bestFit="1" customWidth="1"/>
    <col min="15" max="15" width="16.140625" style="22" hidden="1" customWidth="1"/>
    <col min="16" max="16" width="0" style="22" hidden="1" customWidth="1"/>
    <col min="17" max="19" width="9.140625" style="22" customWidth="1"/>
    <col min="20" max="16384" width="9.140625" style="22" customWidth="1"/>
  </cols>
  <sheetData>
    <row r="1" spans="1:15" ht="18.75">
      <c r="A1" s="142" t="s">
        <v>226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50</v>
      </c>
    </row>
    <row r="4" ht="12.75">
      <c r="O4" s="22" t="s">
        <v>123</v>
      </c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9" t="s">
        <v>228</v>
      </c>
      <c r="G5" s="139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9"/>
      <c r="G6" s="139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ht="38.25">
      <c r="A8" s="1" t="s">
        <v>115</v>
      </c>
      <c r="B8" s="2"/>
      <c r="C8" s="2"/>
      <c r="D8" s="16"/>
      <c r="E8" s="31">
        <v>3</v>
      </c>
      <c r="F8" s="4"/>
      <c r="G8" s="102"/>
      <c r="H8" s="4"/>
      <c r="I8" s="27">
        <f>E8-G8</f>
        <v>3</v>
      </c>
      <c r="J8" s="27"/>
      <c r="K8" s="16"/>
      <c r="L8" s="11">
        <v>3</v>
      </c>
      <c r="M8" s="30"/>
      <c r="N8" s="28">
        <f>L8</f>
        <v>3</v>
      </c>
      <c r="O8" s="127">
        <f>N8-1</f>
        <v>2</v>
      </c>
      <c r="P8" s="2"/>
    </row>
    <row r="9" spans="1:16" ht="38.25">
      <c r="A9" s="1" t="s">
        <v>92</v>
      </c>
      <c r="B9" s="2"/>
      <c r="C9" s="2"/>
      <c r="D9" s="16"/>
      <c r="E9" s="31">
        <v>2</v>
      </c>
      <c r="F9" s="4"/>
      <c r="G9" s="102"/>
      <c r="H9" s="4"/>
      <c r="I9" s="27">
        <f aca="true" t="shared" si="0" ref="I9:I16">E9-G9</f>
        <v>2</v>
      </c>
      <c r="J9" s="27"/>
      <c r="K9" s="16"/>
      <c r="L9" s="11">
        <v>2</v>
      </c>
      <c r="M9" s="30"/>
      <c r="N9" s="28">
        <f aca="true" t="shared" si="1" ref="N9:N16">+J9+L9</f>
        <v>2</v>
      </c>
      <c r="O9" s="31">
        <f aca="true" t="shared" si="2" ref="O9:O16">N9</f>
        <v>2</v>
      </c>
      <c r="P9" s="2"/>
    </row>
    <row r="10" spans="1:16" ht="38.25">
      <c r="A10" s="1" t="s">
        <v>116</v>
      </c>
      <c r="B10" s="2"/>
      <c r="C10" s="2"/>
      <c r="D10" s="16"/>
      <c r="E10" s="31">
        <v>2</v>
      </c>
      <c r="F10" s="4"/>
      <c r="G10" s="102">
        <v>0.1135</v>
      </c>
      <c r="H10" s="4"/>
      <c r="I10" s="27">
        <f t="shared" si="0"/>
        <v>1.8865</v>
      </c>
      <c r="J10" s="27"/>
      <c r="K10" s="16"/>
      <c r="L10" s="11">
        <v>2</v>
      </c>
      <c r="M10" s="30"/>
      <c r="N10" s="28">
        <f t="shared" si="1"/>
        <v>2</v>
      </c>
      <c r="O10" s="31">
        <f t="shared" si="2"/>
        <v>2</v>
      </c>
      <c r="P10" s="2"/>
    </row>
    <row r="11" spans="1:16" ht="25.5">
      <c r="A11" s="1" t="s">
        <v>216</v>
      </c>
      <c r="B11" s="2"/>
      <c r="C11" s="2"/>
      <c r="D11" s="16"/>
      <c r="E11" s="31">
        <v>4</v>
      </c>
      <c r="F11" s="4"/>
      <c r="G11" s="102"/>
      <c r="H11" s="4"/>
      <c r="I11" s="27">
        <f t="shared" si="0"/>
        <v>4</v>
      </c>
      <c r="J11" s="27"/>
      <c r="K11" s="16"/>
      <c r="L11" s="11">
        <v>4</v>
      </c>
      <c r="M11" s="30"/>
      <c r="N11" s="28">
        <f t="shared" si="1"/>
        <v>4</v>
      </c>
      <c r="O11" s="127">
        <f>N11-1</f>
        <v>3</v>
      </c>
      <c r="P11" s="2"/>
    </row>
    <row r="12" spans="1:16" ht="25.5">
      <c r="A12" s="1" t="s">
        <v>93</v>
      </c>
      <c r="B12" s="2"/>
      <c r="C12" s="2"/>
      <c r="D12" s="16"/>
      <c r="E12" s="31">
        <v>6</v>
      </c>
      <c r="F12" s="4"/>
      <c r="G12" s="102"/>
      <c r="H12" s="4"/>
      <c r="I12" s="27">
        <f t="shared" si="0"/>
        <v>6</v>
      </c>
      <c r="J12" s="27"/>
      <c r="K12" s="16"/>
      <c r="L12" s="11">
        <v>6</v>
      </c>
      <c r="M12" s="30"/>
      <c r="N12" s="28">
        <f t="shared" si="1"/>
        <v>6</v>
      </c>
      <c r="O12" s="127">
        <f>N12-4</f>
        <v>2</v>
      </c>
      <c r="P12" s="2"/>
    </row>
    <row r="13" spans="1:16" ht="38.25">
      <c r="A13" s="1" t="s">
        <v>117</v>
      </c>
      <c r="B13" s="2"/>
      <c r="C13" s="2"/>
      <c r="D13" s="16"/>
      <c r="E13" s="31">
        <v>2</v>
      </c>
      <c r="F13" s="4"/>
      <c r="G13" s="102">
        <v>0.64506</v>
      </c>
      <c r="H13" s="4"/>
      <c r="I13" s="27">
        <f t="shared" si="0"/>
        <v>1.35494</v>
      </c>
      <c r="J13" s="27"/>
      <c r="K13" s="16"/>
      <c r="L13" s="11">
        <v>2</v>
      </c>
      <c r="M13" s="30"/>
      <c r="N13" s="28">
        <f t="shared" si="1"/>
        <v>2</v>
      </c>
      <c r="O13" s="31">
        <v>1.5</v>
      </c>
      <c r="P13" s="2"/>
    </row>
    <row r="14" spans="1:16" ht="38.25">
      <c r="A14" s="1" t="s">
        <v>217</v>
      </c>
      <c r="B14" s="2"/>
      <c r="C14" s="2"/>
      <c r="D14" s="16"/>
      <c r="E14" s="31">
        <v>2</v>
      </c>
      <c r="F14" s="4"/>
      <c r="G14" s="102">
        <v>0.04932</v>
      </c>
      <c r="H14" s="4"/>
      <c r="I14" s="27">
        <f t="shared" si="0"/>
        <v>1.95068</v>
      </c>
      <c r="J14" s="27"/>
      <c r="K14" s="16"/>
      <c r="L14" s="11">
        <v>2</v>
      </c>
      <c r="M14" s="30"/>
      <c r="N14" s="28">
        <v>2</v>
      </c>
      <c r="O14" s="31">
        <f t="shared" si="2"/>
        <v>2</v>
      </c>
      <c r="P14" s="2"/>
    </row>
    <row r="15" spans="1:16" ht="38.25">
      <c r="A15" s="1" t="s">
        <v>214</v>
      </c>
      <c r="B15" s="2"/>
      <c r="C15" s="2"/>
      <c r="D15" s="16"/>
      <c r="E15" s="31">
        <v>10</v>
      </c>
      <c r="F15" s="4"/>
      <c r="G15" s="102"/>
      <c r="H15" s="4"/>
      <c r="I15" s="27">
        <f>E15-G15</f>
        <v>10</v>
      </c>
      <c r="J15" s="27"/>
      <c r="K15" s="16"/>
      <c r="L15" s="11">
        <v>10</v>
      </c>
      <c r="M15" s="30"/>
      <c r="N15" s="28">
        <f>+J15+L15</f>
        <v>10</v>
      </c>
      <c r="O15" s="31">
        <f>N15</f>
        <v>10</v>
      </c>
      <c r="P15" s="2"/>
    </row>
    <row r="16" spans="1:16" ht="25.5">
      <c r="A16" s="1" t="s">
        <v>218</v>
      </c>
      <c r="B16" s="2"/>
      <c r="C16" s="2"/>
      <c r="D16" s="16"/>
      <c r="E16" s="31">
        <v>3</v>
      </c>
      <c r="F16" s="4"/>
      <c r="G16" s="103">
        <v>0.08</v>
      </c>
      <c r="H16" s="4"/>
      <c r="I16" s="27">
        <f t="shared" si="0"/>
        <v>2.92</v>
      </c>
      <c r="J16" s="27"/>
      <c r="K16" s="16"/>
      <c r="L16" s="11">
        <v>3</v>
      </c>
      <c r="M16" s="30"/>
      <c r="N16" s="28">
        <f t="shared" si="1"/>
        <v>3</v>
      </c>
      <c r="O16" s="31">
        <f t="shared" si="2"/>
        <v>3</v>
      </c>
      <c r="P16" s="2"/>
    </row>
    <row r="17" spans="1:16" ht="12.75">
      <c r="A17" s="63" t="s">
        <v>52</v>
      </c>
      <c r="B17" s="63"/>
      <c r="C17" s="63"/>
      <c r="D17" s="63"/>
      <c r="E17" s="31">
        <v>34</v>
      </c>
      <c r="F17" s="31"/>
      <c r="G17" s="104">
        <f>SUM(G8:G16)</f>
        <v>0.88788</v>
      </c>
      <c r="H17" s="31"/>
      <c r="I17" s="31">
        <f>SUM(I8:I16)</f>
        <v>33.11212</v>
      </c>
      <c r="J17" s="31"/>
      <c r="K17" s="31"/>
      <c r="L17" s="31">
        <f>SUM(L8:L16)</f>
        <v>34</v>
      </c>
      <c r="M17" s="31"/>
      <c r="N17" s="31">
        <f>SUM(N8:N16)</f>
        <v>34</v>
      </c>
      <c r="O17" s="31">
        <f>SUM(O8:O16)</f>
        <v>27.5</v>
      </c>
      <c r="P17" s="2"/>
    </row>
  </sheetData>
  <sheetProtection/>
  <mergeCells count="12">
    <mergeCell ref="P5:P7"/>
    <mergeCell ref="K6:L6"/>
    <mergeCell ref="M6:N6"/>
    <mergeCell ref="F5:G6"/>
    <mergeCell ref="H5:I6"/>
    <mergeCell ref="J5:N5"/>
    <mergeCell ref="A1:O1"/>
    <mergeCell ref="A5:A7"/>
    <mergeCell ref="B5:B7"/>
    <mergeCell ref="C5:C7"/>
    <mergeCell ref="D5:E6"/>
    <mergeCell ref="O5:O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P12"/>
  <sheetViews>
    <sheetView zoomScale="75" zoomScaleNormal="75" zoomScalePageLayoutView="0" workbookViewId="0" topLeftCell="A1">
      <selection activeCell="F5" sqref="F5:G6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8.140625" style="22" customWidth="1"/>
    <col min="5" max="5" width="11.57421875" style="22" customWidth="1"/>
    <col min="6" max="6" width="8.140625" style="22" customWidth="1"/>
    <col min="7" max="7" width="11.28125" style="22" bestFit="1" customWidth="1"/>
    <col min="8" max="8" width="8.140625" style="22" customWidth="1"/>
    <col min="9" max="9" width="11.8515625" style="22" customWidth="1"/>
    <col min="10" max="10" width="10.7109375" style="22" customWidth="1"/>
    <col min="11" max="11" width="8.140625" style="22" customWidth="1"/>
    <col min="12" max="12" width="11.57421875" style="22" customWidth="1"/>
    <col min="13" max="13" width="8.140625" style="22" customWidth="1"/>
    <col min="14" max="14" width="11.421875" style="22" customWidth="1"/>
    <col min="15" max="15" width="15.421875" style="22" hidden="1" customWidth="1"/>
    <col min="16" max="16" width="0" style="22" hidden="1" customWidth="1"/>
    <col min="17" max="16384" width="9.140625" style="22" customWidth="1"/>
  </cols>
  <sheetData>
    <row r="1" spans="1:16" ht="18.75">
      <c r="A1" s="142" t="s">
        <v>226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51</v>
      </c>
    </row>
    <row r="4" ht="12.75">
      <c r="O4" s="22" t="s">
        <v>123</v>
      </c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9" t="s">
        <v>228</v>
      </c>
      <c r="G5" s="139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9"/>
      <c r="G6" s="139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25" customFormat="1" ht="43.5" customHeight="1">
      <c r="A8" s="1" t="s">
        <v>108</v>
      </c>
      <c r="B8" s="9"/>
      <c r="C8" s="9"/>
      <c r="D8" s="29"/>
      <c r="E8" s="28">
        <v>45</v>
      </c>
      <c r="F8" s="4"/>
      <c r="G8" s="102">
        <v>45</v>
      </c>
      <c r="H8" s="4"/>
      <c r="I8" s="27">
        <f>E8-G8</f>
        <v>0</v>
      </c>
      <c r="J8" s="27"/>
      <c r="K8" s="29">
        <v>9</v>
      </c>
      <c r="L8" s="11">
        <f>K8*5</f>
        <v>45</v>
      </c>
      <c r="M8" s="30"/>
      <c r="N8" s="28">
        <f>+J8+L8</f>
        <v>45</v>
      </c>
      <c r="O8" s="28">
        <f>N8</f>
        <v>45</v>
      </c>
      <c r="P8" s="44"/>
    </row>
    <row r="9" spans="1:16" s="25" customFormat="1" ht="24.75" customHeight="1">
      <c r="A9" s="1" t="s">
        <v>109</v>
      </c>
      <c r="B9" s="9"/>
      <c r="C9" s="9"/>
      <c r="D9" s="29"/>
      <c r="E9" s="28">
        <v>6</v>
      </c>
      <c r="F9" s="4"/>
      <c r="G9" s="102">
        <v>6</v>
      </c>
      <c r="H9" s="4"/>
      <c r="I9" s="27">
        <f>E9-G9</f>
        <v>0</v>
      </c>
      <c r="J9" s="27"/>
      <c r="K9" s="29"/>
      <c r="L9" s="11">
        <v>6</v>
      </c>
      <c r="M9" s="30"/>
      <c r="N9" s="28">
        <f>+J9+L9</f>
        <v>6</v>
      </c>
      <c r="O9" s="28">
        <f>N9</f>
        <v>6</v>
      </c>
      <c r="P9" s="44"/>
    </row>
    <row r="10" spans="1:16" s="25" customFormat="1" ht="24.75" customHeight="1">
      <c r="A10" s="75" t="s">
        <v>174</v>
      </c>
      <c r="B10" s="9"/>
      <c r="C10" s="9"/>
      <c r="D10" s="29"/>
      <c r="E10" s="28">
        <v>10</v>
      </c>
      <c r="F10" s="4"/>
      <c r="G10" s="102">
        <v>4</v>
      </c>
      <c r="H10" s="4"/>
      <c r="I10" s="27">
        <f>E10-G10</f>
        <v>6</v>
      </c>
      <c r="J10" s="27"/>
      <c r="K10" s="29"/>
      <c r="L10" s="11">
        <v>10</v>
      </c>
      <c r="M10" s="30"/>
      <c r="N10" s="28">
        <f>+J10+L10</f>
        <v>10</v>
      </c>
      <c r="O10" s="28">
        <f>N10</f>
        <v>10</v>
      </c>
      <c r="P10" s="44"/>
    </row>
    <row r="11" spans="1:16" s="25" customFormat="1" ht="44.25" customHeight="1">
      <c r="A11" s="12" t="s">
        <v>175</v>
      </c>
      <c r="B11" s="9"/>
      <c r="C11" s="9"/>
      <c r="D11" s="29">
        <v>0</v>
      </c>
      <c r="E11" s="28">
        <v>5</v>
      </c>
      <c r="F11" s="4"/>
      <c r="G11" s="102">
        <v>5</v>
      </c>
      <c r="H11" s="4"/>
      <c r="I11" s="27">
        <f>+E11-G11</f>
        <v>0</v>
      </c>
      <c r="J11" s="27"/>
      <c r="K11" s="29"/>
      <c r="L11" s="11">
        <v>5</v>
      </c>
      <c r="M11" s="30">
        <f>+K11</f>
        <v>0</v>
      </c>
      <c r="N11" s="28">
        <f>+J11+L11</f>
        <v>5</v>
      </c>
      <c r="O11" s="28">
        <f>N11</f>
        <v>5</v>
      </c>
      <c r="P11" s="44"/>
    </row>
    <row r="12" spans="1:16" ht="12.75">
      <c r="A12" s="63" t="s">
        <v>52</v>
      </c>
      <c r="B12" s="63"/>
      <c r="C12" s="63"/>
      <c r="D12" s="2"/>
      <c r="E12" s="31">
        <v>66</v>
      </c>
      <c r="F12" s="2"/>
      <c r="G12" s="104">
        <f>SUM(G8:G11)</f>
        <v>60</v>
      </c>
      <c r="H12" s="2"/>
      <c r="I12" s="31">
        <f>SUM(I8:I11)</f>
        <v>6</v>
      </c>
      <c r="J12" s="31"/>
      <c r="K12" s="2"/>
      <c r="L12" s="31">
        <f>SUM(L8:L11)</f>
        <v>66</v>
      </c>
      <c r="M12" s="2"/>
      <c r="N12" s="31">
        <f>SUM(N8:N11)</f>
        <v>66</v>
      </c>
      <c r="O12" s="28">
        <f>SUM(O8:O11)</f>
        <v>66</v>
      </c>
      <c r="P12" s="2"/>
    </row>
  </sheetData>
  <sheetProtection/>
  <mergeCells count="12">
    <mergeCell ref="C5:C7"/>
    <mergeCell ref="D5:E6"/>
    <mergeCell ref="A1:P1"/>
    <mergeCell ref="M6:N6"/>
    <mergeCell ref="O5:O6"/>
    <mergeCell ref="P5:P7"/>
    <mergeCell ref="F5:G6"/>
    <mergeCell ref="H5:I6"/>
    <mergeCell ref="J5:N5"/>
    <mergeCell ref="K6:L6"/>
    <mergeCell ref="A5:A7"/>
    <mergeCell ref="B5:B7"/>
  </mergeCells>
  <printOptions horizontalCentered="1"/>
  <pageMargins left="0.38" right="0.25" top="0.75" bottom="1" header="0.46" footer="0.25"/>
  <pageSetup horizontalDpi="600" verticalDpi="600" orientation="landscape" paperSize="9" scale="90" r:id="rId1"/>
  <headerFooter alignWithMargins="0">
    <oddHeader>&amp;L&amp;A&amp;R&amp;P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P18"/>
  <sheetViews>
    <sheetView zoomScalePageLayoutView="0" workbookViewId="0" topLeftCell="A1">
      <pane xSplit="3" ySplit="7" topLeftCell="D13" activePane="bottomRight" state="frozen"/>
      <selection pane="topLeft" activeCell="F5" sqref="F5:G6"/>
      <selection pane="topRight" activeCell="F5" sqref="F5:G6"/>
      <selection pane="bottomLeft" activeCell="F5" sqref="F5:G6"/>
      <selection pane="bottomRight" activeCell="L19" sqref="L19"/>
    </sheetView>
  </sheetViews>
  <sheetFormatPr defaultColWidth="9.140625" defaultRowHeight="12.75"/>
  <cols>
    <col min="1" max="1" width="26.140625" style="22" customWidth="1"/>
    <col min="2" max="2" width="9.7109375" style="22" hidden="1" customWidth="1"/>
    <col min="3" max="3" width="0.42578125" style="22" customWidth="1"/>
    <col min="4" max="4" width="9.140625" style="22" customWidth="1"/>
    <col min="5" max="5" width="12.28125" style="22" customWidth="1"/>
    <col min="6" max="6" width="9.140625" style="22" customWidth="1"/>
    <col min="7" max="7" width="11.28125" style="22" customWidth="1"/>
    <col min="8" max="8" width="9.140625" style="22" customWidth="1"/>
    <col min="9" max="9" width="10.8515625" style="22" customWidth="1"/>
    <col min="10" max="10" width="10.7109375" style="22" customWidth="1"/>
    <col min="11" max="11" width="9.140625" style="22" customWidth="1"/>
    <col min="12" max="12" width="12.57421875" style="22" customWidth="1"/>
    <col min="13" max="13" width="9.140625" style="22" customWidth="1"/>
    <col min="14" max="14" width="11.8515625" style="22" customWidth="1"/>
    <col min="15" max="15" width="16.140625" style="22" hidden="1" customWidth="1"/>
    <col min="16" max="16" width="10.28125" style="22" hidden="1" customWidth="1"/>
    <col min="17" max="16384" width="9.140625" style="22" customWidth="1"/>
  </cols>
  <sheetData>
    <row r="1" spans="1:16" ht="18.75">
      <c r="A1" s="142" t="s">
        <v>226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53</v>
      </c>
    </row>
    <row r="4" ht="12.75">
      <c r="O4" s="22" t="s">
        <v>123</v>
      </c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9" t="s">
        <v>228</v>
      </c>
      <c r="G5" s="139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9"/>
      <c r="G6" s="139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25" customFormat="1" ht="25.5">
      <c r="A8" s="19" t="s">
        <v>90</v>
      </c>
      <c r="B8" s="9"/>
      <c r="C8" s="9"/>
      <c r="D8" s="66">
        <v>10</v>
      </c>
      <c r="E8" s="28">
        <v>1</v>
      </c>
      <c r="F8" s="4"/>
      <c r="G8" s="68">
        <v>0.7894</v>
      </c>
      <c r="H8" s="66"/>
      <c r="I8" s="27">
        <f>+E8-G8</f>
        <v>0.2106</v>
      </c>
      <c r="J8" s="66"/>
      <c r="K8" s="66">
        <v>10</v>
      </c>
      <c r="L8" s="11">
        <v>1</v>
      </c>
      <c r="M8" s="30">
        <f aca="true" t="shared" si="0" ref="M8:M13">+K8</f>
        <v>10</v>
      </c>
      <c r="N8" s="28">
        <v>1</v>
      </c>
      <c r="O8" s="28">
        <f>N8</f>
        <v>1</v>
      </c>
      <c r="P8" s="66"/>
    </row>
    <row r="9" spans="1:16" s="25" customFormat="1" ht="42" customHeight="1">
      <c r="A9" s="19" t="s">
        <v>167</v>
      </c>
      <c r="B9" s="9"/>
      <c r="C9" s="9"/>
      <c r="D9" s="66">
        <v>1</v>
      </c>
      <c r="E9" s="28">
        <v>5</v>
      </c>
      <c r="F9" s="4"/>
      <c r="G9" s="68"/>
      <c r="H9" s="66"/>
      <c r="I9" s="27">
        <f>+E9-G9</f>
        <v>5</v>
      </c>
      <c r="J9" s="66"/>
      <c r="K9" s="66">
        <v>1</v>
      </c>
      <c r="L9" s="11">
        <v>5</v>
      </c>
      <c r="M9" s="30">
        <f t="shared" si="0"/>
        <v>1</v>
      </c>
      <c r="N9" s="28">
        <f>+J9+L9</f>
        <v>5</v>
      </c>
      <c r="O9" s="28">
        <f aca="true" t="shared" si="1" ref="O9:O17">N9</f>
        <v>5</v>
      </c>
      <c r="P9" s="66"/>
    </row>
    <row r="10" spans="1:16" s="25" customFormat="1" ht="42" customHeight="1">
      <c r="A10" s="19" t="s">
        <v>147</v>
      </c>
      <c r="B10" s="9"/>
      <c r="C10" s="9"/>
      <c r="D10" s="66">
        <v>24</v>
      </c>
      <c r="E10" s="28">
        <v>3.6</v>
      </c>
      <c r="F10" s="4"/>
      <c r="G10" s="99">
        <v>0.37636</v>
      </c>
      <c r="H10" s="66"/>
      <c r="I10" s="27">
        <f>+E10-G10</f>
        <v>3.22364</v>
      </c>
      <c r="J10" s="66"/>
      <c r="K10" s="66">
        <v>24</v>
      </c>
      <c r="L10" s="11">
        <v>3.6</v>
      </c>
      <c r="M10" s="30">
        <f t="shared" si="0"/>
        <v>24</v>
      </c>
      <c r="N10" s="28">
        <f>+J10+L10</f>
        <v>3.6</v>
      </c>
      <c r="O10" s="28">
        <f t="shared" si="1"/>
        <v>3.6</v>
      </c>
      <c r="P10" s="66"/>
    </row>
    <row r="11" spans="1:16" s="25" customFormat="1" ht="38.25">
      <c r="A11" s="19" t="s">
        <v>168</v>
      </c>
      <c r="B11" s="9"/>
      <c r="C11" s="9"/>
      <c r="D11" s="66">
        <v>40</v>
      </c>
      <c r="E11" s="28">
        <v>2</v>
      </c>
      <c r="F11" s="4"/>
      <c r="G11" s="11"/>
      <c r="H11" s="4"/>
      <c r="I11" s="27">
        <f aca="true" t="shared" si="2" ref="I11:I17">+E11-G11</f>
        <v>2</v>
      </c>
      <c r="J11" s="27"/>
      <c r="K11" s="66">
        <v>40</v>
      </c>
      <c r="L11" s="11">
        <v>2</v>
      </c>
      <c r="M11" s="30">
        <f t="shared" si="0"/>
        <v>40</v>
      </c>
      <c r="N11" s="28">
        <f aca="true" t="shared" si="3" ref="N11:N17">+J11+L11</f>
        <v>2</v>
      </c>
      <c r="O11" s="28">
        <f t="shared" si="1"/>
        <v>2</v>
      </c>
      <c r="P11" s="44"/>
    </row>
    <row r="12" spans="1:16" s="25" customFormat="1" ht="41.25" customHeight="1">
      <c r="A12" s="19" t="s">
        <v>112</v>
      </c>
      <c r="B12" s="9"/>
      <c r="C12" s="9"/>
      <c r="D12" s="66">
        <v>2000</v>
      </c>
      <c r="E12" s="28">
        <v>2</v>
      </c>
      <c r="F12" s="4"/>
      <c r="G12" s="11"/>
      <c r="H12" s="4"/>
      <c r="I12" s="27">
        <f t="shared" si="2"/>
        <v>2</v>
      </c>
      <c r="J12" s="27"/>
      <c r="K12" s="66">
        <v>2000</v>
      </c>
      <c r="L12" s="11">
        <v>2</v>
      </c>
      <c r="M12" s="30">
        <f t="shared" si="0"/>
        <v>2000</v>
      </c>
      <c r="N12" s="28">
        <f t="shared" si="3"/>
        <v>2</v>
      </c>
      <c r="O12" s="28">
        <f t="shared" si="1"/>
        <v>2</v>
      </c>
      <c r="P12" s="44"/>
    </row>
    <row r="13" spans="1:16" s="25" customFormat="1" ht="42" customHeight="1">
      <c r="A13" s="19" t="s">
        <v>54</v>
      </c>
      <c r="B13" s="9"/>
      <c r="C13" s="9"/>
      <c r="D13" s="66">
        <v>5</v>
      </c>
      <c r="E13" s="28">
        <v>5</v>
      </c>
      <c r="F13" s="4"/>
      <c r="G13" s="11"/>
      <c r="H13" s="4"/>
      <c r="I13" s="27">
        <f t="shared" si="2"/>
        <v>5</v>
      </c>
      <c r="J13" s="27"/>
      <c r="K13" s="66">
        <v>5</v>
      </c>
      <c r="L13" s="11">
        <v>50</v>
      </c>
      <c r="M13" s="30">
        <f t="shared" si="0"/>
        <v>5</v>
      </c>
      <c r="N13" s="28">
        <f t="shared" si="3"/>
        <v>50</v>
      </c>
      <c r="O13" s="28">
        <f t="shared" si="1"/>
        <v>50</v>
      </c>
      <c r="P13" s="44"/>
    </row>
    <row r="14" spans="1:16" s="25" customFormat="1" ht="42" customHeight="1">
      <c r="A14" s="1" t="s">
        <v>55</v>
      </c>
      <c r="B14" s="9"/>
      <c r="C14" s="9"/>
      <c r="D14" s="66"/>
      <c r="E14" s="28">
        <v>19</v>
      </c>
      <c r="F14" s="4"/>
      <c r="G14" s="11"/>
      <c r="H14" s="4"/>
      <c r="I14" s="27">
        <f t="shared" si="2"/>
        <v>19</v>
      </c>
      <c r="J14" s="27"/>
      <c r="K14" s="66">
        <v>38000</v>
      </c>
      <c r="L14" s="11">
        <v>19</v>
      </c>
      <c r="M14" s="30"/>
      <c r="N14" s="28">
        <f t="shared" si="3"/>
        <v>19</v>
      </c>
      <c r="O14" s="126">
        <f>N14-9</f>
        <v>10</v>
      </c>
      <c r="P14" s="44"/>
    </row>
    <row r="15" spans="1:16" s="25" customFormat="1" ht="41.25" customHeight="1">
      <c r="A15" s="1" t="s">
        <v>169</v>
      </c>
      <c r="B15" s="9"/>
      <c r="C15" s="9"/>
      <c r="D15" s="66"/>
      <c r="E15" s="28">
        <v>30</v>
      </c>
      <c r="F15" s="4"/>
      <c r="G15" s="11"/>
      <c r="H15" s="4"/>
      <c r="I15" s="27">
        <f t="shared" si="2"/>
        <v>30</v>
      </c>
      <c r="J15" s="27"/>
      <c r="K15" s="66">
        <v>12</v>
      </c>
      <c r="L15" s="11">
        <v>30</v>
      </c>
      <c r="M15" s="30"/>
      <c r="N15" s="28">
        <f t="shared" si="3"/>
        <v>30</v>
      </c>
      <c r="O15" s="126">
        <f>N15-20</f>
        <v>10</v>
      </c>
      <c r="P15" s="44"/>
    </row>
    <row r="16" spans="1:16" s="25" customFormat="1" ht="63.75">
      <c r="A16" s="1" t="s">
        <v>100</v>
      </c>
      <c r="B16" s="9"/>
      <c r="C16" s="9"/>
      <c r="D16" s="66"/>
      <c r="E16" s="28">
        <v>17.75</v>
      </c>
      <c r="F16" s="4"/>
      <c r="G16" s="11"/>
      <c r="H16" s="4"/>
      <c r="I16" s="27">
        <f t="shared" si="2"/>
        <v>17.75</v>
      </c>
      <c r="J16" s="27"/>
      <c r="K16" s="66">
        <v>190</v>
      </c>
      <c r="L16" s="11">
        <v>17.75</v>
      </c>
      <c r="M16" s="30"/>
      <c r="N16" s="28">
        <f t="shared" si="3"/>
        <v>17.75</v>
      </c>
      <c r="O16" s="126">
        <f>N16-7.75</f>
        <v>10</v>
      </c>
      <c r="P16" s="44"/>
    </row>
    <row r="17" spans="1:16" s="25" customFormat="1" ht="19.5" customHeight="1">
      <c r="A17" s="1" t="s">
        <v>134</v>
      </c>
      <c r="B17" s="9"/>
      <c r="C17" s="9"/>
      <c r="D17" s="29"/>
      <c r="E17" s="28">
        <v>15</v>
      </c>
      <c r="F17" s="4"/>
      <c r="G17" s="15"/>
      <c r="H17" s="4"/>
      <c r="I17" s="27">
        <f t="shared" si="2"/>
        <v>15</v>
      </c>
      <c r="J17" s="27"/>
      <c r="K17" s="29"/>
      <c r="L17" s="11">
        <v>15</v>
      </c>
      <c r="M17" s="30"/>
      <c r="N17" s="28">
        <f t="shared" si="3"/>
        <v>15</v>
      </c>
      <c r="O17" s="28">
        <f t="shared" si="1"/>
        <v>15</v>
      </c>
      <c r="P17" s="44"/>
    </row>
    <row r="18" spans="1:16" ht="12.75">
      <c r="A18" s="63" t="s">
        <v>52</v>
      </c>
      <c r="B18" s="63"/>
      <c r="C18" s="63"/>
      <c r="D18" s="2"/>
      <c r="E18" s="31">
        <v>100.35</v>
      </c>
      <c r="F18" s="2"/>
      <c r="G18" s="31">
        <f>SUM(G8:G17)</f>
        <v>1.16576</v>
      </c>
      <c r="H18" s="2"/>
      <c r="I18" s="31">
        <f>SUM(I8:I17)</f>
        <v>99.18424</v>
      </c>
      <c r="J18" s="31">
        <f>SUM(J11:J14)</f>
        <v>0</v>
      </c>
      <c r="K18" s="2"/>
      <c r="L18" s="31">
        <f>SUM(L8:L17)</f>
        <v>145.35</v>
      </c>
      <c r="M18" s="2"/>
      <c r="N18" s="31">
        <f>SUM(N8:N17)</f>
        <v>145.35</v>
      </c>
      <c r="O18" s="28">
        <f>SUM(O8:O17)</f>
        <v>108.6</v>
      </c>
      <c r="P18" s="2"/>
    </row>
  </sheetData>
  <sheetProtection/>
  <mergeCells count="12">
    <mergeCell ref="J5:N5"/>
    <mergeCell ref="K6:L6"/>
    <mergeCell ref="A1:P1"/>
    <mergeCell ref="M6:N6"/>
    <mergeCell ref="O5:O6"/>
    <mergeCell ref="P5:P7"/>
    <mergeCell ref="A5:A7"/>
    <mergeCell ref="B5:B7"/>
    <mergeCell ref="C5:C7"/>
    <mergeCell ref="D5:E6"/>
    <mergeCell ref="F5:G6"/>
    <mergeCell ref="H5:I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P40"/>
  <sheetViews>
    <sheetView zoomScale="85" zoomScaleNormal="85" zoomScalePageLayoutView="0" workbookViewId="0" topLeftCell="A1">
      <pane xSplit="3" ySplit="7" topLeftCell="D34" activePane="bottomRight" state="frozen"/>
      <selection pane="topLeft" activeCell="F5" sqref="F5:G6"/>
      <selection pane="topRight" activeCell="F5" sqref="F5:G6"/>
      <selection pane="bottomLeft" activeCell="F5" sqref="F5:G6"/>
      <selection pane="bottomRight" activeCell="L43" sqref="L43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28125" style="22" bestFit="1" customWidth="1"/>
    <col min="5" max="5" width="11.57421875" style="22" customWidth="1"/>
    <col min="6" max="6" width="9.140625" style="22" customWidth="1"/>
    <col min="7" max="7" width="13.7109375" style="22" bestFit="1" customWidth="1"/>
    <col min="8" max="8" width="9.140625" style="22" customWidth="1"/>
    <col min="9" max="9" width="10.8515625" style="22" customWidth="1"/>
    <col min="10" max="10" width="11.57421875" style="22" customWidth="1"/>
    <col min="11" max="11" width="9.28125" style="22" bestFit="1" customWidth="1"/>
    <col min="12" max="12" width="12.28125" style="22" customWidth="1"/>
    <col min="13" max="13" width="9.28125" style="22" bestFit="1" customWidth="1"/>
    <col min="14" max="14" width="10.8515625" style="22" customWidth="1"/>
    <col min="15" max="15" width="16.140625" style="22" hidden="1" customWidth="1"/>
    <col min="16" max="16" width="10.28125" style="22" hidden="1" customWidth="1"/>
    <col min="17" max="16384" width="9.140625" style="22" customWidth="1"/>
  </cols>
  <sheetData>
    <row r="1" spans="1:16" ht="18.75">
      <c r="A1" s="142" t="s">
        <v>226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56</v>
      </c>
    </row>
    <row r="4" ht="12.75">
      <c r="O4" s="22" t="s">
        <v>123</v>
      </c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9" t="s">
        <v>228</v>
      </c>
      <c r="G5" s="139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9" customHeight="1">
      <c r="A6" s="139"/>
      <c r="B6" s="139"/>
      <c r="C6" s="139"/>
      <c r="D6" s="139"/>
      <c r="E6" s="139"/>
      <c r="F6" s="139"/>
      <c r="G6" s="139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25" customFormat="1" ht="38.25">
      <c r="A8" s="80" t="s">
        <v>57</v>
      </c>
      <c r="B8" s="3"/>
      <c r="C8" s="3"/>
      <c r="D8" s="77">
        <v>0</v>
      </c>
      <c r="E8" s="87">
        <v>600</v>
      </c>
      <c r="F8" s="90"/>
      <c r="G8" s="34">
        <v>385.89584</v>
      </c>
      <c r="H8" s="75"/>
      <c r="I8" s="91">
        <f>(E8-G8)</f>
        <v>214.10415999999998</v>
      </c>
      <c r="J8" s="92"/>
      <c r="K8" s="77"/>
      <c r="L8" s="91">
        <v>672.4</v>
      </c>
      <c r="M8" s="93">
        <f aca="true" t="shared" si="0" ref="M8:M30">+K8</f>
        <v>0</v>
      </c>
      <c r="N8" s="94">
        <f aca="true" t="shared" si="1" ref="N8:N30">J8+L8</f>
        <v>672.4</v>
      </c>
      <c r="O8" s="28">
        <f>N8</f>
        <v>672.4</v>
      </c>
      <c r="P8" s="44"/>
    </row>
    <row r="9" spans="1:16" s="25" customFormat="1" ht="12.75">
      <c r="A9" s="80" t="s">
        <v>58</v>
      </c>
      <c r="B9" s="3"/>
      <c r="C9" s="3"/>
      <c r="D9" s="77">
        <v>0</v>
      </c>
      <c r="E9" s="87">
        <v>2</v>
      </c>
      <c r="F9" s="90"/>
      <c r="G9" s="95">
        <v>0.32611</v>
      </c>
      <c r="H9" s="75"/>
      <c r="I9" s="91">
        <f aca="true" t="shared" si="2" ref="I9:I38">(E9-G9)</f>
        <v>1.67389</v>
      </c>
      <c r="J9" s="92"/>
      <c r="K9" s="77"/>
      <c r="L9" s="91">
        <v>2</v>
      </c>
      <c r="M9" s="93">
        <f t="shared" si="0"/>
        <v>0</v>
      </c>
      <c r="N9" s="94">
        <f t="shared" si="1"/>
        <v>2</v>
      </c>
      <c r="O9" s="125">
        <f aca="true" t="shared" si="3" ref="O9:O19">N9</f>
        <v>2</v>
      </c>
      <c r="P9" s="44"/>
    </row>
    <row r="10" spans="1:16" s="25" customFormat="1" ht="38.25">
      <c r="A10" s="80" t="s">
        <v>59</v>
      </c>
      <c r="B10" s="3"/>
      <c r="C10" s="3"/>
      <c r="D10" s="77">
        <v>0</v>
      </c>
      <c r="E10" s="87">
        <v>6</v>
      </c>
      <c r="F10" s="90"/>
      <c r="G10" s="95">
        <v>6</v>
      </c>
      <c r="H10" s="75"/>
      <c r="I10" s="91">
        <f t="shared" si="2"/>
        <v>0</v>
      </c>
      <c r="J10" s="92"/>
      <c r="K10" s="77"/>
      <c r="L10" s="91">
        <v>10</v>
      </c>
      <c r="M10" s="93">
        <f t="shared" si="0"/>
        <v>0</v>
      </c>
      <c r="N10" s="94">
        <f t="shared" si="1"/>
        <v>10</v>
      </c>
      <c r="O10" s="125">
        <f t="shared" si="3"/>
        <v>10</v>
      </c>
      <c r="P10" s="44"/>
    </row>
    <row r="11" spans="1:16" s="25" customFormat="1" ht="25.5">
      <c r="A11" s="88" t="s">
        <v>60</v>
      </c>
      <c r="B11" s="3"/>
      <c r="C11" s="3"/>
      <c r="D11" s="77">
        <v>0</v>
      </c>
      <c r="E11" s="87">
        <v>75</v>
      </c>
      <c r="F11" s="90"/>
      <c r="G11" s="95">
        <v>44.82789</v>
      </c>
      <c r="H11" s="75"/>
      <c r="I11" s="91">
        <f t="shared" si="2"/>
        <v>30.172110000000004</v>
      </c>
      <c r="J11" s="92"/>
      <c r="K11" s="77"/>
      <c r="L11" s="91">
        <v>75</v>
      </c>
      <c r="M11" s="93">
        <f t="shared" si="0"/>
        <v>0</v>
      </c>
      <c r="N11" s="94">
        <f t="shared" si="1"/>
        <v>75</v>
      </c>
      <c r="O11" s="87">
        <v>60</v>
      </c>
      <c r="P11" s="44"/>
    </row>
    <row r="12" spans="1:16" s="25" customFormat="1" ht="25.5">
      <c r="A12" s="80" t="s">
        <v>61</v>
      </c>
      <c r="B12" s="3"/>
      <c r="C12" s="3"/>
      <c r="D12" s="77">
        <v>0</v>
      </c>
      <c r="E12" s="87">
        <v>50</v>
      </c>
      <c r="F12" s="90"/>
      <c r="G12" s="95">
        <v>18.99973</v>
      </c>
      <c r="H12" s="75"/>
      <c r="I12" s="91">
        <f t="shared" si="2"/>
        <v>31.00027</v>
      </c>
      <c r="J12" s="92"/>
      <c r="K12" s="77"/>
      <c r="L12" s="91">
        <v>100</v>
      </c>
      <c r="M12" s="93">
        <f t="shared" si="0"/>
        <v>0</v>
      </c>
      <c r="N12" s="94">
        <f t="shared" si="1"/>
        <v>100</v>
      </c>
      <c r="O12" s="28">
        <f t="shared" si="3"/>
        <v>100</v>
      </c>
      <c r="P12" s="27"/>
    </row>
    <row r="13" spans="1:16" s="25" customFormat="1" ht="25.5">
      <c r="A13" s="80" t="s">
        <v>62</v>
      </c>
      <c r="B13" s="3"/>
      <c r="C13" s="3"/>
      <c r="D13" s="77">
        <v>0</v>
      </c>
      <c r="E13" s="87">
        <v>20</v>
      </c>
      <c r="F13" s="90"/>
      <c r="G13" s="95">
        <v>4.19771</v>
      </c>
      <c r="H13" s="75"/>
      <c r="I13" s="91">
        <f t="shared" si="2"/>
        <v>15.80229</v>
      </c>
      <c r="J13" s="92"/>
      <c r="K13" s="77"/>
      <c r="L13" s="91">
        <v>20</v>
      </c>
      <c r="M13" s="93">
        <f t="shared" si="0"/>
        <v>0</v>
      </c>
      <c r="N13" s="94">
        <f t="shared" si="1"/>
        <v>20</v>
      </c>
      <c r="O13" s="28">
        <f t="shared" si="3"/>
        <v>20</v>
      </c>
      <c r="P13" s="44"/>
    </row>
    <row r="14" spans="1:16" s="25" customFormat="1" ht="51">
      <c r="A14" s="80" t="s">
        <v>180</v>
      </c>
      <c r="B14" s="3"/>
      <c r="C14" s="3"/>
      <c r="D14" s="77">
        <v>0</v>
      </c>
      <c r="E14" s="87">
        <v>25</v>
      </c>
      <c r="F14" s="90"/>
      <c r="G14" s="95">
        <v>9.30251</v>
      </c>
      <c r="H14" s="75"/>
      <c r="I14" s="91">
        <f t="shared" si="2"/>
        <v>15.69749</v>
      </c>
      <c r="J14" s="92"/>
      <c r="K14" s="77"/>
      <c r="L14" s="91">
        <v>25</v>
      </c>
      <c r="M14" s="93">
        <f t="shared" si="0"/>
        <v>0</v>
      </c>
      <c r="N14" s="94">
        <f t="shared" si="1"/>
        <v>25</v>
      </c>
      <c r="O14" s="28">
        <f t="shared" si="3"/>
        <v>25</v>
      </c>
      <c r="P14" s="44"/>
    </row>
    <row r="15" spans="1:16" s="25" customFormat="1" ht="25.5">
      <c r="A15" s="80" t="s">
        <v>90</v>
      </c>
      <c r="B15" s="3"/>
      <c r="C15" s="3"/>
      <c r="D15" s="77">
        <v>0</v>
      </c>
      <c r="E15" s="87">
        <v>60</v>
      </c>
      <c r="F15" s="90"/>
      <c r="G15" s="117">
        <v>24.46743</v>
      </c>
      <c r="H15" s="75"/>
      <c r="I15" s="91">
        <f t="shared" si="2"/>
        <v>35.53257</v>
      </c>
      <c r="J15" s="92"/>
      <c r="K15" s="77"/>
      <c r="L15" s="96">
        <v>100</v>
      </c>
      <c r="M15" s="93">
        <f t="shared" si="0"/>
        <v>0</v>
      </c>
      <c r="N15" s="94">
        <f t="shared" si="1"/>
        <v>100</v>
      </c>
      <c r="O15" s="87">
        <v>50</v>
      </c>
      <c r="P15" s="44"/>
    </row>
    <row r="16" spans="1:16" s="25" customFormat="1" ht="25.5">
      <c r="A16" s="80" t="s">
        <v>63</v>
      </c>
      <c r="B16" s="3"/>
      <c r="C16" s="3"/>
      <c r="D16" s="77">
        <v>0</v>
      </c>
      <c r="E16" s="87">
        <v>15</v>
      </c>
      <c r="F16" s="90"/>
      <c r="G16" s="95">
        <v>10.28866</v>
      </c>
      <c r="H16" s="75"/>
      <c r="I16" s="91">
        <f t="shared" si="2"/>
        <v>4.71134</v>
      </c>
      <c r="J16" s="92"/>
      <c r="K16" s="77"/>
      <c r="L16" s="91">
        <v>20</v>
      </c>
      <c r="M16" s="93">
        <f t="shared" si="0"/>
        <v>0</v>
      </c>
      <c r="N16" s="94">
        <f t="shared" si="1"/>
        <v>20</v>
      </c>
      <c r="O16" s="87">
        <f t="shared" si="3"/>
        <v>20</v>
      </c>
      <c r="P16" s="44"/>
    </row>
    <row r="17" spans="1:16" s="25" customFormat="1" ht="38.25">
      <c r="A17" s="80" t="s">
        <v>212</v>
      </c>
      <c r="B17" s="3"/>
      <c r="C17" s="3"/>
      <c r="D17" s="77">
        <v>0</v>
      </c>
      <c r="E17" s="97">
        <v>20</v>
      </c>
      <c r="F17" s="90"/>
      <c r="G17" s="95">
        <v>14.73413</v>
      </c>
      <c r="H17" s="75"/>
      <c r="I17" s="91">
        <f t="shared" si="2"/>
        <v>5.26587</v>
      </c>
      <c r="J17" s="92"/>
      <c r="K17" s="77"/>
      <c r="L17" s="91">
        <v>20</v>
      </c>
      <c r="M17" s="93">
        <f t="shared" si="0"/>
        <v>0</v>
      </c>
      <c r="N17" s="94">
        <f t="shared" si="1"/>
        <v>20</v>
      </c>
      <c r="O17" s="28">
        <f t="shared" si="3"/>
        <v>20</v>
      </c>
      <c r="P17" s="44"/>
    </row>
    <row r="18" spans="1:16" s="25" customFormat="1" ht="12.75">
      <c r="A18" s="80" t="s">
        <v>64</v>
      </c>
      <c r="B18" s="3"/>
      <c r="C18" s="3"/>
      <c r="D18" s="77">
        <v>0</v>
      </c>
      <c r="E18" s="97">
        <v>25</v>
      </c>
      <c r="F18" s="90"/>
      <c r="G18" s="95">
        <v>13.65417</v>
      </c>
      <c r="H18" s="75"/>
      <c r="I18" s="91">
        <f t="shared" si="2"/>
        <v>11.34583</v>
      </c>
      <c r="J18" s="92"/>
      <c r="K18" s="77"/>
      <c r="L18" s="91">
        <v>25</v>
      </c>
      <c r="M18" s="93">
        <f t="shared" si="0"/>
        <v>0</v>
      </c>
      <c r="N18" s="94">
        <f t="shared" si="1"/>
        <v>25</v>
      </c>
      <c r="O18" s="125">
        <f t="shared" si="3"/>
        <v>25</v>
      </c>
      <c r="P18" s="44"/>
    </row>
    <row r="19" spans="1:16" s="25" customFormat="1" ht="38.25">
      <c r="A19" s="80" t="s">
        <v>65</v>
      </c>
      <c r="B19" s="3"/>
      <c r="C19" s="3"/>
      <c r="D19" s="77">
        <v>0</v>
      </c>
      <c r="E19" s="97">
        <v>5</v>
      </c>
      <c r="F19" s="90"/>
      <c r="G19" s="95">
        <v>1.10711</v>
      </c>
      <c r="H19" s="75"/>
      <c r="I19" s="91">
        <f t="shared" si="2"/>
        <v>3.89289</v>
      </c>
      <c r="J19" s="92"/>
      <c r="K19" s="77"/>
      <c r="L19" s="91">
        <v>5</v>
      </c>
      <c r="M19" s="93">
        <f t="shared" si="0"/>
        <v>0</v>
      </c>
      <c r="N19" s="94">
        <f t="shared" si="1"/>
        <v>5</v>
      </c>
      <c r="O19" s="28">
        <f t="shared" si="3"/>
        <v>5</v>
      </c>
      <c r="P19" s="44"/>
    </row>
    <row r="20" spans="1:16" s="25" customFormat="1" ht="76.5">
      <c r="A20" s="80" t="s">
        <v>155</v>
      </c>
      <c r="B20" s="3"/>
      <c r="C20" s="3"/>
      <c r="D20" s="77">
        <v>0</v>
      </c>
      <c r="E20" s="97">
        <v>60</v>
      </c>
      <c r="F20" s="90"/>
      <c r="G20" s="95">
        <v>1.7702</v>
      </c>
      <c r="H20" s="75"/>
      <c r="I20" s="91">
        <f t="shared" si="2"/>
        <v>58.2298</v>
      </c>
      <c r="J20" s="92"/>
      <c r="K20" s="77"/>
      <c r="L20" s="91">
        <v>100</v>
      </c>
      <c r="M20" s="93">
        <f t="shared" si="0"/>
        <v>0</v>
      </c>
      <c r="N20" s="94">
        <f t="shared" si="1"/>
        <v>100</v>
      </c>
      <c r="O20" s="87">
        <v>50</v>
      </c>
      <c r="P20" s="44"/>
    </row>
    <row r="21" spans="1:16" s="25" customFormat="1" ht="25.5">
      <c r="A21" s="80" t="s">
        <v>66</v>
      </c>
      <c r="B21" s="3"/>
      <c r="C21" s="3"/>
      <c r="D21" s="77">
        <v>0</v>
      </c>
      <c r="E21" s="97">
        <v>10</v>
      </c>
      <c r="F21" s="90"/>
      <c r="G21" s="95">
        <v>2.63273</v>
      </c>
      <c r="H21" s="75"/>
      <c r="I21" s="91">
        <f t="shared" si="2"/>
        <v>7.3672699999999995</v>
      </c>
      <c r="J21" s="92"/>
      <c r="K21" s="77"/>
      <c r="L21" s="91">
        <v>10</v>
      </c>
      <c r="M21" s="93">
        <f t="shared" si="0"/>
        <v>0</v>
      </c>
      <c r="N21" s="94">
        <f t="shared" si="1"/>
        <v>10</v>
      </c>
      <c r="O21" s="28">
        <f aca="true" t="shared" si="4" ref="O21:O38">N21</f>
        <v>10</v>
      </c>
      <c r="P21" s="44"/>
    </row>
    <row r="22" spans="1:16" s="25" customFormat="1" ht="12.75">
      <c r="A22" s="80" t="s">
        <v>67</v>
      </c>
      <c r="B22" s="3"/>
      <c r="C22" s="3"/>
      <c r="D22" s="77">
        <v>0</v>
      </c>
      <c r="E22" s="98">
        <v>25</v>
      </c>
      <c r="F22" s="90"/>
      <c r="G22" s="95">
        <v>9.91925</v>
      </c>
      <c r="H22" s="75"/>
      <c r="I22" s="91">
        <f t="shared" si="2"/>
        <v>15.08075</v>
      </c>
      <c r="J22" s="92"/>
      <c r="K22" s="77"/>
      <c r="L22" s="91">
        <v>25</v>
      </c>
      <c r="M22" s="93">
        <f t="shared" si="0"/>
        <v>0</v>
      </c>
      <c r="N22" s="94">
        <f t="shared" si="1"/>
        <v>25</v>
      </c>
      <c r="O22" s="28">
        <f t="shared" si="4"/>
        <v>25</v>
      </c>
      <c r="P22" s="44"/>
    </row>
    <row r="23" spans="1:16" s="25" customFormat="1" ht="25.5">
      <c r="A23" s="80" t="s">
        <v>213</v>
      </c>
      <c r="B23" s="3"/>
      <c r="C23" s="3"/>
      <c r="D23" s="77">
        <v>0</v>
      </c>
      <c r="E23" s="98">
        <v>50</v>
      </c>
      <c r="F23" s="90"/>
      <c r="G23" s="95">
        <v>40</v>
      </c>
      <c r="H23" s="75"/>
      <c r="I23" s="91">
        <f t="shared" si="2"/>
        <v>10</v>
      </c>
      <c r="J23" s="92"/>
      <c r="K23" s="77"/>
      <c r="L23" s="91">
        <v>50</v>
      </c>
      <c r="M23" s="93">
        <f t="shared" si="0"/>
        <v>0</v>
      </c>
      <c r="N23" s="94">
        <f t="shared" si="1"/>
        <v>50</v>
      </c>
      <c r="O23" s="125">
        <f t="shared" si="4"/>
        <v>50</v>
      </c>
      <c r="P23" s="44"/>
    </row>
    <row r="24" spans="1:16" s="25" customFormat="1" ht="25.5">
      <c r="A24" s="80" t="s">
        <v>68</v>
      </c>
      <c r="B24" s="3"/>
      <c r="C24" s="3"/>
      <c r="D24" s="77">
        <v>0</v>
      </c>
      <c r="E24" s="98">
        <v>200</v>
      </c>
      <c r="F24" s="90"/>
      <c r="G24" s="95">
        <v>190</v>
      </c>
      <c r="H24" s="75"/>
      <c r="I24" s="91">
        <f t="shared" si="2"/>
        <v>10</v>
      </c>
      <c r="J24" s="92"/>
      <c r="K24" s="77"/>
      <c r="L24" s="91">
        <v>200</v>
      </c>
      <c r="M24" s="93">
        <f t="shared" si="0"/>
        <v>0</v>
      </c>
      <c r="N24" s="94">
        <f t="shared" si="1"/>
        <v>200</v>
      </c>
      <c r="O24" s="87">
        <v>190</v>
      </c>
      <c r="P24" s="44"/>
    </row>
    <row r="25" spans="1:16" s="25" customFormat="1" ht="25.5">
      <c r="A25" s="80" t="s">
        <v>69</v>
      </c>
      <c r="B25" s="3"/>
      <c r="C25" s="3"/>
      <c r="D25" s="77">
        <v>0</v>
      </c>
      <c r="E25" s="98">
        <v>10</v>
      </c>
      <c r="F25" s="90"/>
      <c r="G25" s="95">
        <v>0.95343</v>
      </c>
      <c r="H25" s="75"/>
      <c r="I25" s="91">
        <f t="shared" si="2"/>
        <v>9.04657</v>
      </c>
      <c r="J25" s="92"/>
      <c r="K25" s="77"/>
      <c r="L25" s="91">
        <v>10</v>
      </c>
      <c r="M25" s="93">
        <f t="shared" si="0"/>
        <v>0</v>
      </c>
      <c r="N25" s="94">
        <f t="shared" si="1"/>
        <v>10</v>
      </c>
      <c r="O25" s="125">
        <f t="shared" si="4"/>
        <v>10</v>
      </c>
      <c r="P25" s="44"/>
    </row>
    <row r="26" spans="1:16" s="25" customFormat="1" ht="25.5">
      <c r="A26" s="80" t="s">
        <v>70</v>
      </c>
      <c r="B26" s="3"/>
      <c r="C26" s="3"/>
      <c r="D26" s="77">
        <v>0</v>
      </c>
      <c r="E26" s="98">
        <v>2</v>
      </c>
      <c r="F26" s="90"/>
      <c r="G26" s="95">
        <v>0.24965</v>
      </c>
      <c r="H26" s="75"/>
      <c r="I26" s="91">
        <f t="shared" si="2"/>
        <v>1.75035</v>
      </c>
      <c r="J26" s="92"/>
      <c r="K26" s="77"/>
      <c r="L26" s="91">
        <v>5</v>
      </c>
      <c r="M26" s="93">
        <f t="shared" si="0"/>
        <v>0</v>
      </c>
      <c r="N26" s="94">
        <f t="shared" si="1"/>
        <v>5</v>
      </c>
      <c r="O26" s="28">
        <f t="shared" si="4"/>
        <v>5</v>
      </c>
      <c r="P26" s="27"/>
    </row>
    <row r="27" spans="1:16" s="25" customFormat="1" ht="25.5">
      <c r="A27" s="80" t="s">
        <v>152</v>
      </c>
      <c r="B27" s="3"/>
      <c r="C27" s="3"/>
      <c r="D27" s="77">
        <v>0</v>
      </c>
      <c r="E27" s="98">
        <v>50</v>
      </c>
      <c r="F27" s="90"/>
      <c r="G27" s="95">
        <v>4.00145</v>
      </c>
      <c r="H27" s="75"/>
      <c r="I27" s="91">
        <f t="shared" si="2"/>
        <v>45.99855</v>
      </c>
      <c r="J27" s="92"/>
      <c r="K27" s="77"/>
      <c r="L27" s="91">
        <v>100</v>
      </c>
      <c r="M27" s="93">
        <f t="shared" si="0"/>
        <v>0</v>
      </c>
      <c r="N27" s="94">
        <f t="shared" si="1"/>
        <v>100</v>
      </c>
      <c r="O27" s="28">
        <f t="shared" si="4"/>
        <v>100</v>
      </c>
      <c r="P27" s="44"/>
    </row>
    <row r="28" spans="1:16" s="25" customFormat="1" ht="25.5">
      <c r="A28" s="80" t="s">
        <v>71</v>
      </c>
      <c r="B28" s="3"/>
      <c r="C28" s="3"/>
      <c r="D28" s="77">
        <v>0</v>
      </c>
      <c r="E28" s="98">
        <v>30</v>
      </c>
      <c r="F28" s="90"/>
      <c r="G28" s="95">
        <v>8.25</v>
      </c>
      <c r="H28" s="75"/>
      <c r="I28" s="91">
        <f t="shared" si="2"/>
        <v>21.75</v>
      </c>
      <c r="J28" s="92"/>
      <c r="K28" s="77"/>
      <c r="L28" s="91">
        <v>50</v>
      </c>
      <c r="M28" s="93">
        <f t="shared" si="0"/>
        <v>0</v>
      </c>
      <c r="N28" s="94">
        <f t="shared" si="1"/>
        <v>50</v>
      </c>
      <c r="O28" s="87">
        <v>20</v>
      </c>
      <c r="P28" s="27"/>
    </row>
    <row r="29" spans="1:16" s="25" customFormat="1" ht="12.75">
      <c r="A29" s="80" t="s">
        <v>72</v>
      </c>
      <c r="B29" s="3"/>
      <c r="C29" s="3"/>
      <c r="D29" s="77">
        <v>0</v>
      </c>
      <c r="E29" s="98">
        <v>15</v>
      </c>
      <c r="F29" s="90"/>
      <c r="G29" s="95">
        <v>0</v>
      </c>
      <c r="H29" s="75"/>
      <c r="I29" s="91">
        <f t="shared" si="2"/>
        <v>15</v>
      </c>
      <c r="J29" s="92"/>
      <c r="K29" s="77"/>
      <c r="L29" s="91">
        <v>15</v>
      </c>
      <c r="M29" s="93">
        <f t="shared" si="0"/>
        <v>0</v>
      </c>
      <c r="N29" s="94">
        <f t="shared" si="1"/>
        <v>15</v>
      </c>
      <c r="O29" s="87">
        <f t="shared" si="4"/>
        <v>15</v>
      </c>
      <c r="P29" s="44"/>
    </row>
    <row r="30" spans="1:16" s="25" customFormat="1" ht="38.25">
      <c r="A30" s="80" t="s">
        <v>73</v>
      </c>
      <c r="B30" s="3"/>
      <c r="C30" s="3"/>
      <c r="D30" s="77">
        <v>0</v>
      </c>
      <c r="E30" s="98">
        <v>20</v>
      </c>
      <c r="F30" s="90"/>
      <c r="G30" s="95">
        <v>7</v>
      </c>
      <c r="H30" s="75"/>
      <c r="I30" s="91">
        <f t="shared" si="2"/>
        <v>13</v>
      </c>
      <c r="J30" s="92"/>
      <c r="K30" s="77"/>
      <c r="L30" s="91">
        <v>20</v>
      </c>
      <c r="M30" s="93">
        <f t="shared" si="0"/>
        <v>0</v>
      </c>
      <c r="N30" s="94">
        <f t="shared" si="1"/>
        <v>20</v>
      </c>
      <c r="O30" s="125">
        <f t="shared" si="4"/>
        <v>20</v>
      </c>
      <c r="P30" s="44"/>
    </row>
    <row r="31" spans="1:16" s="25" customFormat="1" ht="51">
      <c r="A31" s="19" t="s">
        <v>176</v>
      </c>
      <c r="B31" s="3"/>
      <c r="C31" s="3"/>
      <c r="D31" s="77">
        <v>0</v>
      </c>
      <c r="E31" s="98">
        <v>80</v>
      </c>
      <c r="F31" s="90"/>
      <c r="G31" s="118">
        <v>1.03</v>
      </c>
      <c r="H31" s="75"/>
      <c r="I31" s="91">
        <f t="shared" si="2"/>
        <v>78.97</v>
      </c>
      <c r="J31" s="92"/>
      <c r="K31" s="77"/>
      <c r="L31" s="91">
        <v>80</v>
      </c>
      <c r="M31" s="93">
        <f>+K31</f>
        <v>0</v>
      </c>
      <c r="N31" s="94">
        <f>J31+L31</f>
        <v>80</v>
      </c>
      <c r="O31" s="87">
        <v>50</v>
      </c>
      <c r="P31" s="76"/>
    </row>
    <row r="32" spans="1:16" s="25" customFormat="1" ht="25.5">
      <c r="A32" s="80" t="s">
        <v>232</v>
      </c>
      <c r="B32" s="3"/>
      <c r="C32" s="3"/>
      <c r="D32" s="77">
        <v>0</v>
      </c>
      <c r="E32" s="98">
        <v>0</v>
      </c>
      <c r="F32" s="90"/>
      <c r="G32" s="118">
        <v>0</v>
      </c>
      <c r="H32" s="75"/>
      <c r="I32" s="91">
        <f t="shared" si="2"/>
        <v>0</v>
      </c>
      <c r="J32" s="92"/>
      <c r="K32" s="77"/>
      <c r="L32" s="91">
        <v>20</v>
      </c>
      <c r="M32" s="93"/>
      <c r="N32" s="94">
        <f>J32+L32</f>
        <v>20</v>
      </c>
      <c r="O32" s="87">
        <f>N32</f>
        <v>20</v>
      </c>
      <c r="P32" s="76"/>
    </row>
    <row r="33" spans="1:16" s="25" customFormat="1" ht="63.75">
      <c r="A33" s="19" t="s">
        <v>235</v>
      </c>
      <c r="B33" s="3"/>
      <c r="C33" s="3"/>
      <c r="D33" s="77"/>
      <c r="E33" s="98">
        <v>20</v>
      </c>
      <c r="F33" s="90"/>
      <c r="G33" s="95">
        <v>10</v>
      </c>
      <c r="H33" s="75"/>
      <c r="I33" s="91">
        <f t="shared" si="2"/>
        <v>10</v>
      </c>
      <c r="J33" s="92"/>
      <c r="K33" s="77"/>
      <c r="L33" s="91">
        <f>38*100</f>
        <v>3800</v>
      </c>
      <c r="M33" s="93"/>
      <c r="N33" s="94">
        <f>L33</f>
        <v>3800</v>
      </c>
      <c r="O33" s="87">
        <v>10</v>
      </c>
      <c r="P33" s="44"/>
    </row>
    <row r="34" spans="1:16" s="25" customFormat="1" ht="89.25">
      <c r="A34" s="80" t="s">
        <v>153</v>
      </c>
      <c r="B34" s="3"/>
      <c r="C34" s="3"/>
      <c r="D34" s="77"/>
      <c r="E34" s="98">
        <v>100</v>
      </c>
      <c r="F34" s="90"/>
      <c r="G34" s="95">
        <v>5.73197</v>
      </c>
      <c r="H34" s="75"/>
      <c r="I34" s="91">
        <f t="shared" si="2"/>
        <v>94.26803</v>
      </c>
      <c r="J34" s="92"/>
      <c r="K34" s="77"/>
      <c r="L34" s="91">
        <v>200</v>
      </c>
      <c r="M34" s="93"/>
      <c r="N34" s="94">
        <f>J34+L34</f>
        <v>200</v>
      </c>
      <c r="O34" s="28">
        <f t="shared" si="4"/>
        <v>200</v>
      </c>
      <c r="P34" s="44"/>
    </row>
    <row r="35" spans="1:16" s="25" customFormat="1" ht="38.25">
      <c r="A35" s="75" t="s">
        <v>192</v>
      </c>
      <c r="B35" s="3"/>
      <c r="C35" s="3"/>
      <c r="D35" s="77"/>
      <c r="E35" s="98">
        <v>25</v>
      </c>
      <c r="F35" s="90"/>
      <c r="G35" s="95">
        <v>0</v>
      </c>
      <c r="H35" s="75"/>
      <c r="I35" s="91">
        <f t="shared" si="2"/>
        <v>25</v>
      </c>
      <c r="J35" s="92"/>
      <c r="K35" s="77"/>
      <c r="L35" s="91">
        <v>50</v>
      </c>
      <c r="M35" s="93"/>
      <c r="N35" s="94">
        <f>J35+L35</f>
        <v>50</v>
      </c>
      <c r="O35" s="125">
        <f t="shared" si="4"/>
        <v>50</v>
      </c>
      <c r="P35" s="44"/>
    </row>
    <row r="36" spans="1:16" s="25" customFormat="1" ht="25.5">
      <c r="A36" s="80" t="s">
        <v>154</v>
      </c>
      <c r="B36" s="3"/>
      <c r="C36" s="3"/>
      <c r="D36" s="77"/>
      <c r="E36" s="98">
        <v>60</v>
      </c>
      <c r="F36" s="90"/>
      <c r="G36" s="95">
        <v>0</v>
      </c>
      <c r="H36" s="75"/>
      <c r="I36" s="91">
        <f t="shared" si="2"/>
        <v>60</v>
      </c>
      <c r="J36" s="92"/>
      <c r="K36" s="77"/>
      <c r="L36" s="91">
        <v>100</v>
      </c>
      <c r="M36" s="93"/>
      <c r="N36" s="94">
        <f>J36+L36</f>
        <v>100</v>
      </c>
      <c r="O36" s="28">
        <f t="shared" si="4"/>
        <v>100</v>
      </c>
      <c r="P36" s="44"/>
    </row>
    <row r="37" spans="1:16" s="25" customFormat="1" ht="45.75" customHeight="1">
      <c r="A37" s="80" t="s">
        <v>181</v>
      </c>
      <c r="B37" s="3"/>
      <c r="C37" s="3"/>
      <c r="D37" s="77"/>
      <c r="E37" s="98">
        <v>100</v>
      </c>
      <c r="F37" s="90"/>
      <c r="G37" s="95">
        <v>0</v>
      </c>
      <c r="H37" s="75"/>
      <c r="I37" s="91">
        <f t="shared" si="2"/>
        <v>100</v>
      </c>
      <c r="J37" s="92"/>
      <c r="K37" s="77"/>
      <c r="L37" s="91">
        <v>100</v>
      </c>
      <c r="M37" s="93"/>
      <c r="N37" s="94">
        <f>J37+L37</f>
        <v>100</v>
      </c>
      <c r="O37" s="125">
        <f t="shared" si="4"/>
        <v>100</v>
      </c>
      <c r="P37" s="44"/>
    </row>
    <row r="38" spans="1:16" s="25" customFormat="1" ht="51">
      <c r="A38" s="89" t="s">
        <v>182</v>
      </c>
      <c r="B38" s="3"/>
      <c r="C38" s="3"/>
      <c r="D38" s="77"/>
      <c r="E38" s="98">
        <v>200</v>
      </c>
      <c r="F38" s="90"/>
      <c r="G38" s="95">
        <v>0</v>
      </c>
      <c r="H38" s="75"/>
      <c r="I38" s="91">
        <f t="shared" si="2"/>
        <v>200</v>
      </c>
      <c r="J38" s="92"/>
      <c r="K38" s="77"/>
      <c r="L38" s="91">
        <v>200</v>
      </c>
      <c r="M38" s="93"/>
      <c r="N38" s="94">
        <f>J38+L38</f>
        <v>200</v>
      </c>
      <c r="O38" s="87">
        <f t="shared" si="4"/>
        <v>200</v>
      </c>
      <c r="P38" s="44"/>
    </row>
    <row r="39" spans="1:16" ht="12.75">
      <c r="A39" s="63" t="s">
        <v>52</v>
      </c>
      <c r="B39" s="63"/>
      <c r="C39" s="63"/>
      <c r="D39" s="63"/>
      <c r="E39" s="21">
        <f>SUM(E8:E38)</f>
        <v>1960</v>
      </c>
      <c r="F39" s="42"/>
      <c r="G39" s="21">
        <f>SUM(G8:G38)</f>
        <v>815.3399700000001</v>
      </c>
      <c r="H39" s="42"/>
      <c r="I39" s="21">
        <f>E39-G39</f>
        <v>1144.66003</v>
      </c>
      <c r="J39" s="21">
        <f>SUM(J8:J30)</f>
        <v>0</v>
      </c>
      <c r="K39" s="42"/>
      <c r="L39" s="21">
        <f>SUM(L8:L38)</f>
        <v>6209.4</v>
      </c>
      <c r="M39" s="42"/>
      <c r="N39" s="21">
        <f>SUM(N8:N38)</f>
        <v>6209.4</v>
      </c>
      <c r="O39" s="21">
        <f>SUM(O8:O38)</f>
        <v>2234.4</v>
      </c>
      <c r="P39" s="2"/>
    </row>
    <row r="40" spans="7:15" ht="12.75">
      <c r="G40" s="43"/>
      <c r="O40" s="43"/>
    </row>
  </sheetData>
  <sheetProtection/>
  <mergeCells count="12">
    <mergeCell ref="K6:L6"/>
    <mergeCell ref="O5:O6"/>
    <mergeCell ref="A1:P1"/>
    <mergeCell ref="M6:N6"/>
    <mergeCell ref="H5:I6"/>
    <mergeCell ref="F5:G6"/>
    <mergeCell ref="D5:E6"/>
    <mergeCell ref="C5:C7"/>
    <mergeCell ref="B5:B7"/>
    <mergeCell ref="A5:A7"/>
    <mergeCell ref="P5:P7"/>
    <mergeCell ref="J5:N5"/>
  </mergeCells>
  <printOptions horizontalCentered="1"/>
  <pageMargins left="0.38" right="0.25" top="0.47" bottom="0.44" header="0.37" footer="0.25"/>
  <pageSetup horizontalDpi="600" verticalDpi="600" orientation="landscape" paperSize="9" scale="80" r:id="rId1"/>
  <headerFooter alignWithMargins="0">
    <oddHeader>&amp;L&amp;A&amp;R&amp;P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F5" sqref="F5:G6"/>
      <selection pane="topRight" activeCell="F5" sqref="F5:G6"/>
      <selection pane="bottomLeft" activeCell="F5" sqref="F5:G6"/>
      <selection pane="bottomRight" activeCell="L11" sqref="L11"/>
    </sheetView>
  </sheetViews>
  <sheetFormatPr defaultColWidth="9.140625" defaultRowHeight="12.75"/>
  <cols>
    <col min="1" max="1" width="27.00390625" style="22" customWidth="1"/>
    <col min="2" max="2" width="9.7109375" style="22" hidden="1" customWidth="1"/>
    <col min="3" max="3" width="1.7109375" style="22" hidden="1" customWidth="1"/>
    <col min="4" max="4" width="9.140625" style="22" customWidth="1"/>
    <col min="5" max="5" width="14.28125" style="22" customWidth="1"/>
    <col min="6" max="6" width="7.8515625" style="22" customWidth="1"/>
    <col min="7" max="7" width="13.140625" style="22" bestFit="1" customWidth="1"/>
    <col min="8" max="8" width="7.57421875" style="22" customWidth="1"/>
    <col min="9" max="9" width="14.8515625" style="22" customWidth="1"/>
    <col min="10" max="10" width="11.57421875" style="22" bestFit="1" customWidth="1"/>
    <col min="11" max="11" width="7.421875" style="22" customWidth="1"/>
    <col min="12" max="12" width="14.00390625" style="22" customWidth="1"/>
    <col min="13" max="13" width="9.140625" style="22" customWidth="1"/>
    <col min="14" max="14" width="15.8515625" style="22" customWidth="1"/>
    <col min="15" max="15" width="15.57421875" style="24" hidden="1" customWidth="1"/>
    <col min="16" max="16" width="10.28125" style="22" bestFit="1" customWidth="1"/>
    <col min="17" max="16384" width="9.140625" style="22" customWidth="1"/>
  </cols>
  <sheetData>
    <row r="1" spans="1:16" ht="18.75">
      <c r="A1" s="142" t="s">
        <v>207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4" ht="16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6.5" customHeight="1">
      <c r="A3" s="24" t="s">
        <v>26</v>
      </c>
      <c r="B3" s="24"/>
      <c r="C3" s="24"/>
      <c r="D3" s="24"/>
      <c r="E3" s="24"/>
      <c r="F3" s="17" t="s">
        <v>85</v>
      </c>
    </row>
    <row r="4" ht="16.5" customHeight="1"/>
    <row r="5" spans="1:16" s="25" customFormat="1" ht="16.5" customHeight="1">
      <c r="A5" s="139" t="s">
        <v>2</v>
      </c>
      <c r="B5" s="139" t="s">
        <v>27</v>
      </c>
      <c r="C5" s="139" t="s">
        <v>9</v>
      </c>
      <c r="D5" s="139" t="s">
        <v>208</v>
      </c>
      <c r="E5" s="139"/>
      <c r="F5" s="139" t="s">
        <v>220</v>
      </c>
      <c r="G5" s="139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9"/>
      <c r="G6" s="139"/>
      <c r="H6" s="139"/>
      <c r="I6" s="139"/>
      <c r="J6" s="9" t="s">
        <v>209</v>
      </c>
      <c r="K6" s="139" t="s">
        <v>210</v>
      </c>
      <c r="L6" s="139"/>
      <c r="M6" s="139" t="s">
        <v>211</v>
      </c>
      <c r="N6" s="139"/>
      <c r="O6" s="140"/>
      <c r="P6" s="140"/>
    </row>
    <row r="7" spans="1:16" s="25" customFormat="1" ht="22.5" customHeight="1">
      <c r="A7" s="139"/>
      <c r="B7" s="139"/>
      <c r="C7" s="139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7" s="25" customFormat="1" ht="16.5" customHeight="1">
      <c r="A8" s="18" t="s">
        <v>75</v>
      </c>
      <c r="B8" s="9"/>
      <c r="C8" s="9"/>
      <c r="D8" s="36"/>
      <c r="E8" s="49">
        <f>'MIS '!E21</f>
        <v>31</v>
      </c>
      <c r="F8" s="38"/>
      <c r="G8" s="37">
        <f>'MIS '!G21</f>
        <v>7.499709999999999</v>
      </c>
      <c r="H8" s="39"/>
      <c r="I8" s="8">
        <f aca="true" t="shared" si="0" ref="I8:I22">+E8-G8</f>
        <v>23.50029</v>
      </c>
      <c r="J8" s="37">
        <f>'MIS '!J21</f>
        <v>0</v>
      </c>
      <c r="K8" s="36"/>
      <c r="L8" s="37">
        <f>'MIS '!L21</f>
        <v>51</v>
      </c>
      <c r="M8" s="41">
        <f aca="true" t="shared" si="1" ref="M8:M22">+K8</f>
        <v>0</v>
      </c>
      <c r="N8" s="40">
        <f aca="true" t="shared" si="2" ref="N8:N22">+J8+L8</f>
        <v>51</v>
      </c>
      <c r="O8" s="48">
        <f>'MIS '!O21</f>
        <v>31</v>
      </c>
      <c r="P8" s="44"/>
      <c r="Q8" s="78"/>
    </row>
    <row r="9" spans="1:17" s="25" customFormat="1" ht="16.5" customHeight="1">
      <c r="A9" s="18" t="s">
        <v>76</v>
      </c>
      <c r="B9" s="9"/>
      <c r="C9" s="9"/>
      <c r="D9" s="36"/>
      <c r="E9" s="49">
        <f>'CAL '!E12</f>
        <v>18.52</v>
      </c>
      <c r="F9" s="38"/>
      <c r="G9" s="37">
        <f>'CAL '!G12</f>
        <v>0</v>
      </c>
      <c r="H9" s="39"/>
      <c r="I9" s="8">
        <f t="shared" si="0"/>
        <v>18.52</v>
      </c>
      <c r="J9" s="37">
        <f>'CAL '!J12</f>
        <v>0</v>
      </c>
      <c r="K9" s="36"/>
      <c r="L9" s="37">
        <f>'CAL '!L12</f>
        <v>23.52</v>
      </c>
      <c r="M9" s="41">
        <f t="shared" si="1"/>
        <v>0</v>
      </c>
      <c r="N9" s="40">
        <f t="shared" si="2"/>
        <v>23.52</v>
      </c>
      <c r="O9" s="48">
        <f>'CAL '!O12</f>
        <v>23.52</v>
      </c>
      <c r="P9" s="27"/>
      <c r="Q9" s="78"/>
    </row>
    <row r="10" spans="1:17" s="25" customFormat="1" ht="16.5" customHeight="1">
      <c r="A10" s="19" t="s">
        <v>77</v>
      </c>
      <c r="B10" s="9"/>
      <c r="C10" s="9"/>
      <c r="D10" s="36"/>
      <c r="E10" s="49">
        <f>'SC ST INTERVINTION'!E15</f>
        <v>5.650000000000001</v>
      </c>
      <c r="F10" s="37"/>
      <c r="G10" s="37">
        <f>+'SC ST INTERVINTION'!G15</f>
        <v>1.55768</v>
      </c>
      <c r="H10" s="37"/>
      <c r="I10" s="8">
        <f t="shared" si="0"/>
        <v>4.092320000000001</v>
      </c>
      <c r="J10" s="37">
        <f>+'SC ST INTERVINTION'!J15</f>
        <v>0</v>
      </c>
      <c r="K10" s="36"/>
      <c r="L10" s="37">
        <f>+'SC ST INTERVINTION'!L15</f>
        <v>5.650000000000001</v>
      </c>
      <c r="M10" s="41">
        <f t="shared" si="1"/>
        <v>0</v>
      </c>
      <c r="N10" s="40">
        <f t="shared" si="2"/>
        <v>5.650000000000001</v>
      </c>
      <c r="O10" s="48">
        <f>'SC ST INTERVINTION'!O15</f>
        <v>4.25</v>
      </c>
      <c r="P10" s="44"/>
      <c r="Q10" s="78"/>
    </row>
    <row r="11" spans="1:17" s="25" customFormat="1" ht="16.5" customHeight="1">
      <c r="A11" s="19" t="s">
        <v>139</v>
      </c>
      <c r="B11" s="9"/>
      <c r="C11" s="9"/>
      <c r="D11" s="36"/>
      <c r="E11" s="49">
        <f>'Minority-Innovation'!E17</f>
        <v>7.3999999999999995</v>
      </c>
      <c r="F11" s="37"/>
      <c r="G11" s="37">
        <f>'Minority-Innovation'!G17</f>
        <v>0.75</v>
      </c>
      <c r="H11" s="37"/>
      <c r="I11" s="49">
        <f>'Minority-Innovation'!I17</f>
        <v>6.65</v>
      </c>
      <c r="J11" s="37">
        <f>'Minority-Innovation'!J17</f>
        <v>0</v>
      </c>
      <c r="K11" s="59"/>
      <c r="L11" s="37">
        <f>'Minority-Innovation'!L17</f>
        <v>7.3999999999999995</v>
      </c>
      <c r="M11" s="59"/>
      <c r="N11" s="48">
        <f>'Minority-Innovation'!N17</f>
        <v>7.3999999999999995</v>
      </c>
      <c r="O11" s="48">
        <f>'Minority-Innovation'!O17</f>
        <v>5.3999999999999995</v>
      </c>
      <c r="P11" s="44"/>
      <c r="Q11" s="78"/>
    </row>
    <row r="12" spans="1:17" s="25" customFormat="1" ht="25.5">
      <c r="A12" s="19" t="s">
        <v>140</v>
      </c>
      <c r="B12" s="9"/>
      <c r="C12" s="9"/>
      <c r="D12" s="36"/>
      <c r="E12" s="49">
        <f>'Urban Children'!E13</f>
        <v>5.25</v>
      </c>
      <c r="F12" s="49"/>
      <c r="G12" s="49">
        <f>'Urban Children'!G13</f>
        <v>0.3</v>
      </c>
      <c r="H12" s="49"/>
      <c r="I12" s="49">
        <f>'Urban Children'!I13</f>
        <v>4.949999999999999</v>
      </c>
      <c r="J12" s="49">
        <f>'Urban Children'!J13</f>
        <v>0</v>
      </c>
      <c r="K12" s="49"/>
      <c r="L12" s="49">
        <f>'Urban Children'!L13</f>
        <v>5.25</v>
      </c>
      <c r="M12" s="49"/>
      <c r="N12" s="48">
        <f>'Urban Children'!N13</f>
        <v>5.25</v>
      </c>
      <c r="O12" s="48">
        <f>'Urban Children'!O13</f>
        <v>3.25</v>
      </c>
      <c r="P12" s="44"/>
      <c r="Q12" s="78"/>
    </row>
    <row r="13" spans="1:17" s="25" customFormat="1" ht="16.5" customHeight="1">
      <c r="A13" s="19" t="s">
        <v>106</v>
      </c>
      <c r="B13" s="9"/>
      <c r="C13" s="9"/>
      <c r="D13" s="36"/>
      <c r="E13" s="49">
        <f>KGBV!E17</f>
        <v>37</v>
      </c>
      <c r="F13" s="37"/>
      <c r="G13" s="37">
        <f>KGBV!G17</f>
        <v>1.96618</v>
      </c>
      <c r="H13" s="37"/>
      <c r="I13" s="49">
        <f>KGBV!I17</f>
        <v>35.03382</v>
      </c>
      <c r="J13" s="37">
        <f>KGBV!J17</f>
        <v>0</v>
      </c>
      <c r="K13" s="37"/>
      <c r="L13" s="49">
        <f>KGBV!L17</f>
        <v>35</v>
      </c>
      <c r="M13" s="37"/>
      <c r="N13" s="48">
        <f>KGBV!N17</f>
        <v>35</v>
      </c>
      <c r="O13" s="48">
        <f>KGBV!O17</f>
        <v>0</v>
      </c>
      <c r="P13" s="44"/>
      <c r="Q13" s="78"/>
    </row>
    <row r="14" spans="1:17" s="25" customFormat="1" ht="16.5" customHeight="1">
      <c r="A14" s="19" t="s">
        <v>78</v>
      </c>
      <c r="B14" s="9"/>
      <c r="C14" s="9"/>
      <c r="D14" s="36"/>
      <c r="E14" s="49">
        <f>'GIRLS EDUCATION'!E15</f>
        <v>27</v>
      </c>
      <c r="F14" s="38"/>
      <c r="G14" s="37">
        <f>+'GIRLS EDUCATION'!G15</f>
        <v>0</v>
      </c>
      <c r="H14" s="39"/>
      <c r="I14" s="8">
        <f t="shared" si="0"/>
        <v>27</v>
      </c>
      <c r="J14" s="37">
        <f>+'GIRLS EDUCATION'!J15</f>
        <v>0</v>
      </c>
      <c r="K14" s="36"/>
      <c r="L14" s="37">
        <f>+'GIRLS EDUCATION'!L15</f>
        <v>28</v>
      </c>
      <c r="M14" s="41">
        <f t="shared" si="1"/>
        <v>0</v>
      </c>
      <c r="N14" s="40">
        <f t="shared" si="2"/>
        <v>28</v>
      </c>
      <c r="O14" s="48">
        <f>'GIRLS EDUCATION'!O15</f>
        <v>0</v>
      </c>
      <c r="P14" s="44"/>
      <c r="Q14" s="78"/>
    </row>
    <row r="15" spans="1:17" s="25" customFormat="1" ht="16.5" customHeight="1">
      <c r="A15" s="19" t="s">
        <v>79</v>
      </c>
      <c r="B15" s="9"/>
      <c r="C15" s="9"/>
      <c r="D15" s="36"/>
      <c r="E15" s="49">
        <f>MEDIA!E33</f>
        <v>284</v>
      </c>
      <c r="F15" s="38"/>
      <c r="G15" s="37">
        <f>+MEDIA!G33</f>
        <v>155.34974</v>
      </c>
      <c r="H15" s="39"/>
      <c r="I15" s="8">
        <f t="shared" si="0"/>
        <v>128.65026</v>
      </c>
      <c r="J15" s="37">
        <f>+MEDIA!J33</f>
        <v>0</v>
      </c>
      <c r="K15" s="36"/>
      <c r="L15" s="37">
        <f>+MEDIA!L33</f>
        <v>371</v>
      </c>
      <c r="M15" s="41">
        <f t="shared" si="1"/>
        <v>0</v>
      </c>
      <c r="N15" s="40">
        <f t="shared" si="2"/>
        <v>371</v>
      </c>
      <c r="O15" s="48">
        <f>MEDIA!O33</f>
        <v>259</v>
      </c>
      <c r="P15" s="27"/>
      <c r="Q15" s="78"/>
    </row>
    <row r="16" spans="1:17" s="25" customFormat="1" ht="16.5" customHeight="1">
      <c r="A16" s="19" t="s">
        <v>80</v>
      </c>
      <c r="B16" s="9"/>
      <c r="C16" s="9"/>
      <c r="D16" s="36"/>
      <c r="E16" s="49">
        <f>EFE!E25</f>
        <v>199</v>
      </c>
      <c r="F16" s="38"/>
      <c r="G16" s="37">
        <f>+EFE!G25</f>
        <v>56.252140000000004</v>
      </c>
      <c r="H16" s="39"/>
      <c r="I16" s="8">
        <f t="shared" si="0"/>
        <v>142.74786</v>
      </c>
      <c r="J16" s="37">
        <f>+EFE!J25</f>
        <v>0</v>
      </c>
      <c r="K16" s="36"/>
      <c r="L16" s="37">
        <f>+EFE!L25</f>
        <v>439</v>
      </c>
      <c r="M16" s="41">
        <f t="shared" si="1"/>
        <v>0</v>
      </c>
      <c r="N16" s="40">
        <f t="shared" si="2"/>
        <v>439</v>
      </c>
      <c r="O16" s="48">
        <f>EFE!O25</f>
        <v>365.8</v>
      </c>
      <c r="P16" s="44"/>
      <c r="Q16" s="78"/>
    </row>
    <row r="17" spans="1:17" s="25" customFormat="1" ht="16.5" customHeight="1">
      <c r="A17" s="80" t="s">
        <v>225</v>
      </c>
      <c r="B17" s="9"/>
      <c r="C17" s="9"/>
      <c r="D17" s="36"/>
      <c r="E17" s="49">
        <f>OOSC!E18</f>
        <v>67.2</v>
      </c>
      <c r="F17" s="38"/>
      <c r="G17" s="37">
        <f>+OOSC!G18</f>
        <v>8.563039999999999</v>
      </c>
      <c r="H17" s="39"/>
      <c r="I17" s="8">
        <f t="shared" si="0"/>
        <v>58.63696</v>
      </c>
      <c r="J17" s="37">
        <f>+OOSC!J18</f>
        <v>0</v>
      </c>
      <c r="K17" s="36"/>
      <c r="L17" s="37">
        <f>+OOSC!L18</f>
        <v>67.2</v>
      </c>
      <c r="M17" s="41">
        <f t="shared" si="1"/>
        <v>0</v>
      </c>
      <c r="N17" s="40">
        <f t="shared" si="2"/>
        <v>67.2</v>
      </c>
      <c r="O17" s="48">
        <f>OOSC!O18</f>
        <v>40.2</v>
      </c>
      <c r="P17" s="44"/>
      <c r="Q17" s="78"/>
    </row>
    <row r="18" spans="1:17" s="25" customFormat="1" ht="16.5" customHeight="1">
      <c r="A18" s="19" t="s">
        <v>81</v>
      </c>
      <c r="B18" s="9"/>
      <c r="C18" s="9"/>
      <c r="D18" s="36"/>
      <c r="E18" s="49">
        <f>VSS!E16</f>
        <v>23</v>
      </c>
      <c r="F18" s="38"/>
      <c r="G18" s="37">
        <f>+VSS!G16</f>
        <v>2.94866</v>
      </c>
      <c r="H18" s="39"/>
      <c r="I18" s="8">
        <f t="shared" si="0"/>
        <v>20.05134</v>
      </c>
      <c r="J18" s="37">
        <f>+VSS!J16</f>
        <v>0</v>
      </c>
      <c r="K18" s="36"/>
      <c r="L18" s="37">
        <f>+VSS!L16</f>
        <v>23</v>
      </c>
      <c r="M18" s="41">
        <f t="shared" si="1"/>
        <v>0</v>
      </c>
      <c r="N18" s="40">
        <f t="shared" si="2"/>
        <v>23</v>
      </c>
      <c r="O18" s="48">
        <f>VSS!O16</f>
        <v>20</v>
      </c>
      <c r="P18" s="44"/>
      <c r="Q18" s="78"/>
    </row>
    <row r="19" spans="1:17" s="25" customFormat="1" ht="16.5" customHeight="1">
      <c r="A19" s="19" t="s">
        <v>82</v>
      </c>
      <c r="B19" s="9"/>
      <c r="C19" s="9"/>
      <c r="D19" s="36"/>
      <c r="E19" s="49">
        <f>'IE'!E17</f>
        <v>34</v>
      </c>
      <c r="F19" s="38"/>
      <c r="G19" s="37">
        <f>+'IE'!G17</f>
        <v>0.88788</v>
      </c>
      <c r="H19" s="39"/>
      <c r="I19" s="8">
        <f t="shared" si="0"/>
        <v>33.11212</v>
      </c>
      <c r="J19" s="37">
        <f>+'IE'!J17</f>
        <v>0</v>
      </c>
      <c r="K19" s="36"/>
      <c r="L19" s="37">
        <f>+'IE'!L17</f>
        <v>34</v>
      </c>
      <c r="M19" s="41">
        <f t="shared" si="1"/>
        <v>0</v>
      </c>
      <c r="N19" s="40">
        <f t="shared" si="2"/>
        <v>34</v>
      </c>
      <c r="O19" s="48">
        <f>'IE'!O17</f>
        <v>27.5</v>
      </c>
      <c r="P19" s="44"/>
      <c r="Q19" s="78"/>
    </row>
    <row r="20" spans="1:17" s="25" customFormat="1" ht="16.5" customHeight="1">
      <c r="A20" s="19" t="s">
        <v>83</v>
      </c>
      <c r="B20" s="9"/>
      <c r="C20" s="9"/>
      <c r="D20" s="36"/>
      <c r="E20" s="49">
        <f>'Directorate - Primary'!E12</f>
        <v>66</v>
      </c>
      <c r="F20" s="38"/>
      <c r="G20" s="37">
        <f>+'Directorate - Primary'!G12</f>
        <v>60</v>
      </c>
      <c r="H20" s="39"/>
      <c r="I20" s="8">
        <f t="shared" si="0"/>
        <v>6</v>
      </c>
      <c r="J20" s="37">
        <f>+'Directorate - Primary'!J12</f>
        <v>0</v>
      </c>
      <c r="K20" s="36"/>
      <c r="L20" s="37">
        <f>+'Directorate - Primary'!L12</f>
        <v>66</v>
      </c>
      <c r="M20" s="41">
        <f t="shared" si="1"/>
        <v>0</v>
      </c>
      <c r="N20" s="40">
        <f t="shared" si="2"/>
        <v>66</v>
      </c>
      <c r="O20" s="48">
        <f>'Directorate - Primary'!O12</f>
        <v>66</v>
      </c>
      <c r="P20" s="44"/>
      <c r="Q20" s="78"/>
    </row>
    <row r="21" spans="1:17" s="25" customFormat="1" ht="16.5" customHeight="1">
      <c r="A21" s="19" t="s">
        <v>84</v>
      </c>
      <c r="B21" s="9"/>
      <c r="C21" s="9"/>
      <c r="D21" s="36"/>
      <c r="E21" s="49">
        <f>'CIVIL WORKS'!E18</f>
        <v>100.35</v>
      </c>
      <c r="F21" s="38"/>
      <c r="G21" s="37">
        <f>+'CIVIL WORKS'!G18</f>
        <v>1.16576</v>
      </c>
      <c r="H21" s="39"/>
      <c r="I21" s="8">
        <f t="shared" si="0"/>
        <v>99.18423999999999</v>
      </c>
      <c r="J21" s="37">
        <f>+'CIVIL WORKS'!J18</f>
        <v>0</v>
      </c>
      <c r="K21" s="36"/>
      <c r="L21" s="37">
        <f>+'CIVIL WORKS'!L18</f>
        <v>145.35</v>
      </c>
      <c r="M21" s="41">
        <f t="shared" si="1"/>
        <v>0</v>
      </c>
      <c r="N21" s="40">
        <f t="shared" si="2"/>
        <v>145.35</v>
      </c>
      <c r="O21" s="48">
        <f>'CIVIL WORKS'!O18</f>
        <v>108.6</v>
      </c>
      <c r="P21" s="44"/>
      <c r="Q21" s="78"/>
    </row>
    <row r="22" spans="1:17" s="25" customFormat="1" ht="16.5" customHeight="1">
      <c r="A22" s="19" t="s">
        <v>74</v>
      </c>
      <c r="B22" s="9"/>
      <c r="C22" s="9"/>
      <c r="D22" s="36"/>
      <c r="E22" s="49">
        <f>MANAGEMENT!E39</f>
        <v>1960</v>
      </c>
      <c r="F22" s="38"/>
      <c r="G22" s="37">
        <f>+MANAGEMENT!G39</f>
        <v>815.3399700000001</v>
      </c>
      <c r="H22" s="39"/>
      <c r="I22" s="8">
        <f t="shared" si="0"/>
        <v>1144.66003</v>
      </c>
      <c r="J22" s="37">
        <f>+MANAGEMENT!J39</f>
        <v>0</v>
      </c>
      <c r="K22" s="36"/>
      <c r="L22" s="37">
        <f>+MANAGEMENT!L39</f>
        <v>6209.4</v>
      </c>
      <c r="M22" s="41">
        <f t="shared" si="1"/>
        <v>0</v>
      </c>
      <c r="N22" s="40">
        <f t="shared" si="2"/>
        <v>6209.4</v>
      </c>
      <c r="O22" s="48">
        <f>MANAGEMENT!O39</f>
        <v>2234.4</v>
      </c>
      <c r="P22" s="44"/>
      <c r="Q22" s="78"/>
    </row>
    <row r="23" spans="1:16" s="24" customFormat="1" ht="16.5" customHeight="1">
      <c r="A23" s="63" t="s">
        <v>52</v>
      </c>
      <c r="B23" s="63"/>
      <c r="C23" s="63"/>
      <c r="D23" s="63"/>
      <c r="E23" s="21">
        <f>SUM(E8:E22)</f>
        <v>2865.37</v>
      </c>
      <c r="F23" s="42"/>
      <c r="G23" s="21">
        <f>SUM(G8:G22)</f>
        <v>1112.58076</v>
      </c>
      <c r="H23" s="42"/>
      <c r="I23" s="21">
        <f>SUM(I8:I22)</f>
        <v>1752.78924</v>
      </c>
      <c r="J23" s="21">
        <f>SUM(J8:J22)</f>
        <v>0</v>
      </c>
      <c r="K23" s="42"/>
      <c r="L23" s="21">
        <f>SUM(L8:L22)</f>
        <v>7510.7699999999995</v>
      </c>
      <c r="M23" s="42"/>
      <c r="N23" s="21">
        <f>SUM(N8:N22)</f>
        <v>7510.7699999999995</v>
      </c>
      <c r="O23" s="31">
        <f>SUM(O8:O22)</f>
        <v>3188.92</v>
      </c>
      <c r="P23" s="55"/>
    </row>
    <row r="24" spans="9:15" ht="12.75">
      <c r="I24" s="43"/>
      <c r="O24" s="50"/>
    </row>
    <row r="25" spans="14:15" ht="12.75">
      <c r="N25" s="43"/>
      <c r="O25" s="50"/>
    </row>
  </sheetData>
  <sheetProtection/>
  <mergeCells count="12">
    <mergeCell ref="F5:G6"/>
    <mergeCell ref="H5:I6"/>
    <mergeCell ref="J5:N5"/>
    <mergeCell ref="K6:L6"/>
    <mergeCell ref="M6:N6"/>
    <mergeCell ref="O5:O6"/>
    <mergeCell ref="A1:P1"/>
    <mergeCell ref="P5:P7"/>
    <mergeCell ref="A5:A7"/>
    <mergeCell ref="B5:B7"/>
    <mergeCell ref="C5:C7"/>
    <mergeCell ref="D5:E6"/>
  </mergeCells>
  <printOptions horizontalCentered="1"/>
  <pageMargins left="0.38" right="0.25" top="0.75" bottom="1" header="0.46" footer="0.25"/>
  <pageSetup horizontalDpi="600" verticalDpi="600" orientation="landscape" paperSize="9" scale="80" r:id="rId1"/>
  <headerFooter alignWithMargins="0">
    <oddHeader>&amp;L&amp;A&amp;R&amp;P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H33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3.7109375" style="0" customWidth="1"/>
    <col min="2" max="2" width="32.00390625" style="0" customWidth="1"/>
    <col min="3" max="3" width="12.7109375" style="0" customWidth="1"/>
    <col min="4" max="4" width="10.8515625" style="0" bestFit="1" customWidth="1"/>
    <col min="5" max="5" width="10.8515625" style="0" customWidth="1"/>
    <col min="6" max="6" width="14.140625" style="0" customWidth="1"/>
    <col min="7" max="7" width="11.57421875" style="0" bestFit="1" customWidth="1"/>
  </cols>
  <sheetData>
    <row r="1" spans="1:6" ht="15.75">
      <c r="A1" s="144" t="s">
        <v>233</v>
      </c>
      <c r="B1" s="144"/>
      <c r="C1" s="144"/>
      <c r="D1" s="144"/>
      <c r="E1" s="144"/>
      <c r="F1" s="144"/>
    </row>
    <row r="2" spans="1:6" ht="42" customHeight="1">
      <c r="A2" s="108" t="s">
        <v>178</v>
      </c>
      <c r="B2" s="109" t="s">
        <v>179</v>
      </c>
      <c r="C2" s="108" t="s">
        <v>227</v>
      </c>
      <c r="D2" s="108" t="s">
        <v>203</v>
      </c>
      <c r="E2" s="108" t="s">
        <v>234</v>
      </c>
      <c r="F2" s="108" t="s">
        <v>206</v>
      </c>
    </row>
    <row r="3" spans="1:7" ht="12.75">
      <c r="A3" s="81">
        <v>1</v>
      </c>
      <c r="B3" s="110" t="s">
        <v>194</v>
      </c>
      <c r="C3" s="84">
        <f>MANAGEMENT!E8</f>
        <v>600</v>
      </c>
      <c r="D3" s="84">
        <f>MANAGEMENT!G8</f>
        <v>385.89584</v>
      </c>
      <c r="E3" s="84">
        <f>MANAGEMENT!L8</f>
        <v>672.4</v>
      </c>
      <c r="F3" s="84">
        <f>E3</f>
        <v>672.4</v>
      </c>
      <c r="G3" s="83"/>
    </row>
    <row r="4" spans="1:7" ht="25.5">
      <c r="A4" s="81">
        <v>2</v>
      </c>
      <c r="B4" s="111" t="s">
        <v>195</v>
      </c>
      <c r="C4" s="84">
        <f>MANAGEMENT!E9+MANAGEMENT!E10+MANAGEMENT!E15+MANAGEMENT!E16+MANAGEMENT!E18+MANAGEMENT!E28+MANAGEMENT!E29+MANAGEMENT!E30+MANAGEMENT!E31+MANAGEMENT!E35+MANAGEMENT!E38+'STATE COMPONENT 2016-17'!E8+'STATE COMPONENT 2016-17'!E9</f>
        <v>527.52</v>
      </c>
      <c r="D4" s="84">
        <f>MANAGEMENT!G9+MANAGEMENT!G10+MANAGEMENT!G15+MANAGEMENT!G16+MANAGEMENT!G18+MANAGEMENT!G28+MANAGEMENT!G29+MANAGEMENT!G30+MANAGEMENT!G31+MANAGEMENT!G35+MANAGEMENT!G38+'STATE COMPONENT 2016-17'!G8+'STATE COMPONENT 2016-17'!G9</f>
        <v>78.51607999999999</v>
      </c>
      <c r="E4" s="84">
        <f>MANAGEMENT!L9+MANAGEMENT!L10+MANAGEMENT!L15+MANAGEMENT!L16+MANAGEMENT!L18+MANAGEMENT!L28+MANAGEMENT!L29+MANAGEMENT!L30+MANAGEMENT!L31+MANAGEMENT!L32+MANAGEMENT!L35+MANAGEMENT!L38+'STATE COMPONENT 2016-17'!L8+'STATE COMPONENT 2016-17'!L9</f>
        <v>666.52</v>
      </c>
      <c r="F4" s="84">
        <f aca="true" t="shared" si="0" ref="F4:F13">E4</f>
        <v>666.52</v>
      </c>
      <c r="G4" s="83"/>
    </row>
    <row r="5" spans="1:7" ht="14.25" customHeight="1">
      <c r="A5" s="81">
        <v>3</v>
      </c>
      <c r="B5" s="111" t="s">
        <v>196</v>
      </c>
      <c r="C5" s="84">
        <f>MANAGEMENT!E25+MANAGEMENT!E37</f>
        <v>110</v>
      </c>
      <c r="D5" s="84">
        <f>MANAGEMENT!G25+MANAGEMENT!G37</f>
        <v>0.95343</v>
      </c>
      <c r="E5" s="84">
        <f>MANAGEMENT!L25+MANAGEMENT!L37</f>
        <v>110</v>
      </c>
      <c r="F5" s="84">
        <f t="shared" si="0"/>
        <v>110</v>
      </c>
      <c r="G5" s="83"/>
    </row>
    <row r="6" spans="1:7" ht="12.75">
      <c r="A6" s="81">
        <v>4</v>
      </c>
      <c r="B6" s="110" t="s">
        <v>197</v>
      </c>
      <c r="C6" s="84">
        <f>MANAGEMENT!E17+MANAGEMENT!E19</f>
        <v>25</v>
      </c>
      <c r="D6" s="84">
        <f>MANAGEMENT!G17+MANAGEMENT!G19</f>
        <v>15.84124</v>
      </c>
      <c r="E6" s="84">
        <f>MANAGEMENT!L17+MANAGEMENT!L19</f>
        <v>25</v>
      </c>
      <c r="F6" s="84">
        <f t="shared" si="0"/>
        <v>25</v>
      </c>
      <c r="G6" s="83"/>
    </row>
    <row r="7" spans="1:7" ht="12.75">
      <c r="A7" s="81">
        <v>5</v>
      </c>
      <c r="B7" s="111" t="s">
        <v>198</v>
      </c>
      <c r="C7" s="84">
        <f>MANAGEMENT!E13+MANAGEMENT!E21+MANAGEMENT!E26</f>
        <v>32</v>
      </c>
      <c r="D7" s="84">
        <f>MANAGEMENT!G13+MANAGEMENT!G21+MANAGEMENT!G26</f>
        <v>7.080089999999999</v>
      </c>
      <c r="E7" s="84">
        <f>MANAGEMENT!L13+MANAGEMENT!L21+MANAGEMENT!L26</f>
        <v>35</v>
      </c>
      <c r="F7" s="84">
        <f t="shared" si="0"/>
        <v>35</v>
      </c>
      <c r="G7" s="83"/>
    </row>
    <row r="8" spans="1:7" ht="12.75">
      <c r="A8" s="81">
        <v>6</v>
      </c>
      <c r="B8" s="110" t="s">
        <v>199</v>
      </c>
      <c r="C8" s="84">
        <f>MANAGEMENT!E12+MANAGEMENT!E22</f>
        <v>75</v>
      </c>
      <c r="D8" s="84">
        <f>MANAGEMENT!G12+MANAGEMENT!G22</f>
        <v>28.918979999999998</v>
      </c>
      <c r="E8" s="84">
        <f>MANAGEMENT!L12+MANAGEMENT!L22</f>
        <v>125</v>
      </c>
      <c r="F8" s="84">
        <f t="shared" si="0"/>
        <v>125</v>
      </c>
      <c r="G8" s="83"/>
    </row>
    <row r="9" spans="1:7" ht="12.75">
      <c r="A9" s="81">
        <v>7</v>
      </c>
      <c r="B9" s="110" t="s">
        <v>200</v>
      </c>
      <c r="C9" s="84">
        <f>MANAGEMENT!E14</f>
        <v>25</v>
      </c>
      <c r="D9" s="84">
        <f>MANAGEMENT!G14</f>
        <v>9.30251</v>
      </c>
      <c r="E9" s="84">
        <f>MANAGEMENT!L14</f>
        <v>25</v>
      </c>
      <c r="F9" s="84">
        <f t="shared" si="0"/>
        <v>25</v>
      </c>
      <c r="G9" s="83"/>
    </row>
    <row r="10" spans="1:7" ht="25.5">
      <c r="A10" s="81">
        <v>8</v>
      </c>
      <c r="B10" s="111" t="s">
        <v>201</v>
      </c>
      <c r="C10" s="84">
        <f>MANAGEMENT!E11+MANAGEMENT!E23+MANAGEMENT!E24+MANAGEMENT!E33</f>
        <v>345</v>
      </c>
      <c r="D10" s="84">
        <f>MANAGEMENT!G11+MANAGEMENT!G23+MANAGEMENT!G24+MANAGEMENT!G33</f>
        <v>284.82789</v>
      </c>
      <c r="E10" s="84">
        <f>MANAGEMENT!L11+MANAGEMENT!L23+MANAGEMENT!L24</f>
        <v>325</v>
      </c>
      <c r="F10" s="84">
        <f t="shared" si="0"/>
        <v>325</v>
      </c>
      <c r="G10" s="83"/>
    </row>
    <row r="11" spans="1:7" ht="12.75">
      <c r="A11" s="81">
        <v>9</v>
      </c>
      <c r="B11" s="112" t="s">
        <v>222</v>
      </c>
      <c r="C11" s="84">
        <f>MANAGEMENT!E20+'STATE COMPONENT 2016-17'!E15</f>
        <v>344</v>
      </c>
      <c r="D11" s="84">
        <f>MANAGEMENT!G20+'STATE COMPONENT 2016-17'!G15</f>
        <v>157.11993999999999</v>
      </c>
      <c r="E11" s="84">
        <f>MANAGEMENT!L20+'STATE COMPONENT 2016-17'!L15</f>
        <v>471</v>
      </c>
      <c r="F11" s="84">
        <f t="shared" si="0"/>
        <v>471</v>
      </c>
      <c r="G11" s="83"/>
    </row>
    <row r="12" spans="1:8" ht="25.5">
      <c r="A12" s="81">
        <v>10</v>
      </c>
      <c r="B12" s="113" t="s">
        <v>237</v>
      </c>
      <c r="C12" s="84">
        <f>'STATE COMPONENT 2016-17'!E16+'STATE COMPONENT 2016-17'!E10+'STATE COMPONENT 2016-17'!E11+'STATE COMPONENT 2016-17'!E12+'STATE COMPONENT 2016-17'!E13+'STATE COMPONENT 2016-17'!E14+'STATE COMPONENT 2016-17'!E17+'STATE COMPONENT 2016-17'!E18+'STATE COMPONENT 2016-17'!E19+'STATE COMPONENT 2016-17'!E20+'STATE COMPONENT 2016-17'!E21</f>
        <v>571.85</v>
      </c>
      <c r="D12" s="84">
        <f>'STATE COMPONENT 2016-17'!G16+'STATE COMPONENT 2016-17'!G10+'STATE COMPONENT 2016-17'!G11+'STATE COMPONENT 2016-17'!G12+'STATE COMPONENT 2016-17'!G13+'STATE COMPONENT 2016-17'!G14+'STATE COMPONENT 2016-17'!G17+'STATE COMPONENT 2016-17'!G18+'STATE COMPONENT 2016-17'!G19+'STATE COMPONENT 2016-17'!G20+'STATE COMPONENT 2016-17'!G21</f>
        <v>134.39133999999999</v>
      </c>
      <c r="E12" s="84">
        <f>'STATE COMPONENT 2016-17'!L16+'STATE COMPONENT 2016-17'!N10+'STATE COMPONENT 2016-17'!N11+'STATE COMPONENT 2016-17'!N12+'STATE COMPONENT 2016-17'!N13+'STATE COMPONENT 2016-17'!N14+'STATE COMPONENT 2016-17'!N17+'STATE COMPONENT 2016-17'!N18+'STATE COMPONENT 2016-17'!N19+'STATE COMPONENT 2016-17'!N20+'STATE COMPONENT 2016-17'!N21+MANAGEMENT!L33</f>
        <v>4655.85</v>
      </c>
      <c r="F12" s="84">
        <f t="shared" si="0"/>
        <v>4655.85</v>
      </c>
      <c r="G12" s="83"/>
      <c r="H12" s="83"/>
    </row>
    <row r="13" spans="1:7" ht="25.5">
      <c r="A13" s="81">
        <v>11</v>
      </c>
      <c r="B13" s="111" t="s">
        <v>202</v>
      </c>
      <c r="C13" s="84">
        <f>MANAGEMENT!E27+MANAGEMENT!E34+MANAGEMENT!E36</f>
        <v>210</v>
      </c>
      <c r="D13" s="84">
        <f>MANAGEMENT!G27+MANAGEMENT!G34+MANAGEMENT!G36</f>
        <v>9.733419999999999</v>
      </c>
      <c r="E13" s="84">
        <f>MANAGEMENT!L27+MANAGEMENT!L34+MANAGEMENT!L36</f>
        <v>400</v>
      </c>
      <c r="F13" s="84">
        <f t="shared" si="0"/>
        <v>400</v>
      </c>
      <c r="G13" s="83"/>
    </row>
    <row r="14" spans="1:6" ht="12.75">
      <c r="A14" s="143" t="s">
        <v>118</v>
      </c>
      <c r="B14" s="143"/>
      <c r="C14" s="82">
        <f>SUM(C3:C13)</f>
        <v>2865.37</v>
      </c>
      <c r="D14" s="82">
        <f>SUM(D3:D13)</f>
        <v>1112.58076</v>
      </c>
      <c r="E14" s="137">
        <f>SUM(E3:E13)</f>
        <v>7510.77</v>
      </c>
      <c r="F14" s="82">
        <f>SUM(F3:F13)</f>
        <v>7510.77</v>
      </c>
    </row>
    <row r="15" spans="1:6" ht="12.75">
      <c r="A15" s="119"/>
      <c r="B15" s="119"/>
      <c r="C15" s="120"/>
      <c r="D15" s="120"/>
      <c r="E15" s="120"/>
      <c r="F15" s="120"/>
    </row>
    <row r="16" spans="3:6" ht="12.75">
      <c r="C16" s="83"/>
      <c r="D16" s="121"/>
      <c r="E16" s="83"/>
      <c r="F16" s="83"/>
    </row>
    <row r="17" spans="1:6" ht="15.75">
      <c r="A17" s="144" t="s">
        <v>177</v>
      </c>
      <c r="B17" s="144"/>
      <c r="C17" s="144"/>
      <c r="D17" s="144"/>
      <c r="E17" s="144"/>
      <c r="F17" s="144"/>
    </row>
    <row r="18" spans="1:6" ht="24.75" customHeight="1">
      <c r="A18" s="108" t="s">
        <v>178</v>
      </c>
      <c r="B18" s="109" t="s">
        <v>179</v>
      </c>
      <c r="C18" s="108" t="s">
        <v>227</v>
      </c>
      <c r="D18" s="108" t="s">
        <v>203</v>
      </c>
      <c r="E18" s="108" t="s">
        <v>234</v>
      </c>
      <c r="F18" s="114" t="s">
        <v>206</v>
      </c>
    </row>
    <row r="19" spans="1:7" ht="12.75">
      <c r="A19" s="81">
        <v>1</v>
      </c>
      <c r="B19" s="130" t="s">
        <v>194</v>
      </c>
      <c r="C19" s="122">
        <v>4594.978289999999</v>
      </c>
      <c r="D19" s="134">
        <v>3495.48715</v>
      </c>
      <c r="E19" s="122">
        <v>4912.53917</v>
      </c>
      <c r="F19" s="122">
        <f>E19</f>
        <v>4912.53917</v>
      </c>
      <c r="G19" s="135"/>
    </row>
    <row r="20" spans="1:7" ht="12.75">
      <c r="A20" s="81">
        <v>2</v>
      </c>
      <c r="B20" s="130" t="s">
        <v>204</v>
      </c>
      <c r="C20" s="122">
        <v>1980.6288199999997</v>
      </c>
      <c r="D20" s="134">
        <v>1133.8754</v>
      </c>
      <c r="E20" s="122">
        <v>2086.44316</v>
      </c>
      <c r="F20" s="122">
        <f aca="true" t="shared" si="1" ref="F20:F30">E20</f>
        <v>2086.44316</v>
      </c>
      <c r="G20" s="135"/>
    </row>
    <row r="21" spans="1:7" ht="25.5">
      <c r="A21" s="81">
        <v>3</v>
      </c>
      <c r="B21" s="131" t="s">
        <v>195</v>
      </c>
      <c r="C21" s="122">
        <v>1790.484</v>
      </c>
      <c r="D21" s="134">
        <f>314.054993+40.578</f>
        <v>354.63299300000006</v>
      </c>
      <c r="E21" s="122">
        <v>2624.442</v>
      </c>
      <c r="F21" s="122">
        <f t="shared" si="1"/>
        <v>2624.442</v>
      </c>
      <c r="G21" s="135"/>
    </row>
    <row r="22" spans="1:7" ht="12.75" customHeight="1">
      <c r="A22" s="81">
        <v>4</v>
      </c>
      <c r="B22" s="131" t="s">
        <v>223</v>
      </c>
      <c r="C22" s="122">
        <v>880.17102</v>
      </c>
      <c r="D22" s="134">
        <v>880.171</v>
      </c>
      <c r="E22" s="122">
        <v>118.61387</v>
      </c>
      <c r="F22" s="122">
        <f t="shared" si="1"/>
        <v>118.61387</v>
      </c>
      <c r="G22" s="135"/>
    </row>
    <row r="23" spans="1:7" ht="12.75">
      <c r="A23" s="81">
        <v>5</v>
      </c>
      <c r="B23" s="130" t="s">
        <v>197</v>
      </c>
      <c r="C23" s="122">
        <v>176.6</v>
      </c>
      <c r="D23" s="134">
        <f>125.68708+25</f>
        <v>150.68707999999998</v>
      </c>
      <c r="E23" s="122">
        <v>273.3</v>
      </c>
      <c r="F23" s="122">
        <f t="shared" si="1"/>
        <v>273.3</v>
      </c>
      <c r="G23" s="135"/>
    </row>
    <row r="24" spans="1:7" ht="12.75">
      <c r="A24" s="81">
        <v>6</v>
      </c>
      <c r="B24" s="130" t="s">
        <v>198</v>
      </c>
      <c r="C24" s="122">
        <v>48.8</v>
      </c>
      <c r="D24" s="134">
        <v>23.34472</v>
      </c>
      <c r="E24" s="122">
        <v>57</v>
      </c>
      <c r="F24" s="122">
        <f t="shared" si="1"/>
        <v>57</v>
      </c>
      <c r="G24" s="135"/>
    </row>
    <row r="25" spans="1:7" ht="12.75">
      <c r="A25" s="81">
        <v>7</v>
      </c>
      <c r="B25" s="130" t="s">
        <v>199</v>
      </c>
      <c r="C25" s="122">
        <v>563</v>
      </c>
      <c r="D25" s="134">
        <v>418.37234</v>
      </c>
      <c r="E25" s="122">
        <v>572</v>
      </c>
      <c r="F25" s="122">
        <f t="shared" si="1"/>
        <v>572</v>
      </c>
      <c r="G25" s="135"/>
    </row>
    <row r="26" spans="1:7" ht="12.75">
      <c r="A26" s="81">
        <v>8</v>
      </c>
      <c r="B26" s="130" t="s">
        <v>200</v>
      </c>
      <c r="C26" s="122">
        <v>98.5</v>
      </c>
      <c r="D26" s="134">
        <v>62.74663</v>
      </c>
      <c r="E26" s="122">
        <v>98</v>
      </c>
      <c r="F26" s="122">
        <f t="shared" si="1"/>
        <v>98</v>
      </c>
      <c r="G26" s="135"/>
    </row>
    <row r="27" spans="1:7" ht="25.5">
      <c r="A27" s="81">
        <v>9</v>
      </c>
      <c r="B27" s="131" t="s">
        <v>201</v>
      </c>
      <c r="C27" s="122">
        <v>80</v>
      </c>
      <c r="D27" s="134">
        <v>7.217554</v>
      </c>
      <c r="E27" s="122">
        <v>82</v>
      </c>
      <c r="F27" s="122">
        <f t="shared" si="1"/>
        <v>82</v>
      </c>
      <c r="G27" s="135"/>
    </row>
    <row r="28" spans="1:7" ht="12.75">
      <c r="A28" s="81">
        <v>10</v>
      </c>
      <c r="B28" s="132" t="s">
        <v>222</v>
      </c>
      <c r="C28" s="122">
        <v>85.5</v>
      </c>
      <c r="D28" s="134">
        <v>45.76258</v>
      </c>
      <c r="E28" s="122">
        <v>188.5</v>
      </c>
      <c r="F28" s="122">
        <f t="shared" si="1"/>
        <v>188.5</v>
      </c>
      <c r="G28" s="135"/>
    </row>
    <row r="29" spans="1:7" ht="25.5">
      <c r="A29" s="81">
        <v>11</v>
      </c>
      <c r="B29" s="133" t="s">
        <v>205</v>
      </c>
      <c r="C29" s="122">
        <v>406.208</v>
      </c>
      <c r="D29" s="134">
        <v>73.53709</v>
      </c>
      <c r="E29" s="122">
        <v>593.713</v>
      </c>
      <c r="F29" s="122">
        <f t="shared" si="1"/>
        <v>593.713</v>
      </c>
      <c r="G29" s="135"/>
    </row>
    <row r="30" spans="1:7" ht="25.5">
      <c r="A30" s="81">
        <v>12</v>
      </c>
      <c r="B30" s="131" t="s">
        <v>202</v>
      </c>
      <c r="C30" s="122">
        <v>79</v>
      </c>
      <c r="D30" s="134">
        <v>52.72535</v>
      </c>
      <c r="E30" s="122">
        <v>97</v>
      </c>
      <c r="F30" s="122">
        <f t="shared" si="1"/>
        <v>97</v>
      </c>
      <c r="G30" s="135"/>
    </row>
    <row r="31" spans="1:7" ht="12.75">
      <c r="A31" s="143" t="s">
        <v>118</v>
      </c>
      <c r="B31" s="143"/>
      <c r="C31" s="123">
        <f>SUM(C19:C30)</f>
        <v>10783.87013</v>
      </c>
      <c r="D31" s="124">
        <f>SUM(D19:D30)</f>
        <v>6698.5598869999985</v>
      </c>
      <c r="E31" s="124">
        <f>SUM(E19:E30)</f>
        <v>11703.551199999998</v>
      </c>
      <c r="F31" s="124">
        <f>SUM(F19:F30)</f>
        <v>11703.551199999998</v>
      </c>
      <c r="G31" s="135"/>
    </row>
    <row r="32" ht="12.75">
      <c r="E32" s="83"/>
    </row>
    <row r="33" spans="3:4" ht="12.75">
      <c r="C33" s="83"/>
      <c r="D33" s="83"/>
    </row>
  </sheetData>
  <sheetProtection/>
  <mergeCells count="4">
    <mergeCell ref="A14:B14"/>
    <mergeCell ref="A31:B31"/>
    <mergeCell ref="A1:F1"/>
    <mergeCell ref="A17:F17"/>
  </mergeCells>
  <printOptions/>
  <pageMargins left="1.18" right="0.3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P12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28125" style="22" bestFit="1" customWidth="1"/>
    <col min="5" max="5" width="11.140625" style="22" customWidth="1"/>
    <col min="6" max="6" width="9.140625" style="22" customWidth="1"/>
    <col min="7" max="7" width="11.00390625" style="22" customWidth="1"/>
    <col min="8" max="8" width="8.28125" style="22" customWidth="1"/>
    <col min="9" max="9" width="11.00390625" style="22" bestFit="1" customWidth="1"/>
    <col min="10" max="10" width="11.57421875" style="22" bestFit="1" customWidth="1"/>
    <col min="11" max="11" width="9.421875" style="22" customWidth="1"/>
    <col min="12" max="12" width="11.421875" style="22" bestFit="1" customWidth="1"/>
    <col min="13" max="13" width="9.28125" style="22" bestFit="1" customWidth="1"/>
    <col min="14" max="14" width="11.140625" style="22" customWidth="1"/>
    <col min="15" max="15" width="15.00390625" style="22" hidden="1" customWidth="1"/>
    <col min="16" max="16" width="9.57421875" style="22" hidden="1" customWidth="1"/>
    <col min="17" max="16384" width="9.140625" style="22" customWidth="1"/>
  </cols>
  <sheetData>
    <row r="1" spans="1:15" ht="15">
      <c r="A1" s="141" t="s">
        <v>226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29</v>
      </c>
    </row>
    <row r="4" ht="12.75">
      <c r="O4" s="22" t="s">
        <v>123</v>
      </c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8" t="s">
        <v>228</v>
      </c>
      <c r="G5" s="138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8"/>
      <c r="G6" s="138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86" t="s">
        <v>0</v>
      </c>
      <c r="G7" s="8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34" customFormat="1" ht="33.75" customHeight="1">
      <c r="A8" s="62" t="s">
        <v>141</v>
      </c>
      <c r="B8" s="33"/>
      <c r="C8" s="33"/>
      <c r="D8" s="4">
        <v>76</v>
      </c>
      <c r="E8" s="28">
        <v>1.52</v>
      </c>
      <c r="F8" s="30"/>
      <c r="G8" s="27"/>
      <c r="H8" s="30"/>
      <c r="I8" s="28">
        <f>+E8-G8</f>
        <v>1.52</v>
      </c>
      <c r="J8" s="27"/>
      <c r="K8" s="4">
        <v>76</v>
      </c>
      <c r="L8" s="10">
        <v>1.52</v>
      </c>
      <c r="M8" s="30">
        <v>76</v>
      </c>
      <c r="N8" s="28">
        <f>L8</f>
        <v>1.52</v>
      </c>
      <c r="O8" s="28">
        <f>N8</f>
        <v>1.52</v>
      </c>
      <c r="P8" s="33"/>
    </row>
    <row r="9" spans="1:16" ht="33" customHeight="1">
      <c r="A9" s="62" t="s">
        <v>164</v>
      </c>
      <c r="B9" s="2"/>
      <c r="C9" s="2"/>
      <c r="D9" s="4">
        <v>1</v>
      </c>
      <c r="E9" s="28">
        <v>5</v>
      </c>
      <c r="F9" s="2"/>
      <c r="G9" s="27"/>
      <c r="H9" s="2"/>
      <c r="I9" s="28">
        <f>+E9-G9</f>
        <v>5</v>
      </c>
      <c r="J9" s="27"/>
      <c r="K9" s="4">
        <v>1</v>
      </c>
      <c r="L9" s="10">
        <v>10</v>
      </c>
      <c r="M9" s="30">
        <f>+K9</f>
        <v>1</v>
      </c>
      <c r="N9" s="28">
        <f>+J9+L9</f>
        <v>10</v>
      </c>
      <c r="O9" s="28">
        <f>N9</f>
        <v>10</v>
      </c>
      <c r="P9" s="2"/>
    </row>
    <row r="10" spans="1:16" ht="47.25" customHeight="1">
      <c r="A10" s="62" t="s">
        <v>163</v>
      </c>
      <c r="B10" s="2"/>
      <c r="C10" s="2"/>
      <c r="D10" s="4">
        <v>1</v>
      </c>
      <c r="E10" s="28">
        <v>2</v>
      </c>
      <c r="F10" s="2"/>
      <c r="G10" s="27"/>
      <c r="H10" s="2"/>
      <c r="I10" s="28">
        <f>+E10-G10</f>
        <v>2</v>
      </c>
      <c r="J10" s="27"/>
      <c r="K10" s="4">
        <v>1</v>
      </c>
      <c r="L10" s="10">
        <v>2</v>
      </c>
      <c r="M10" s="30">
        <f>+K10</f>
        <v>1</v>
      </c>
      <c r="N10" s="28">
        <f>+J10+L10</f>
        <v>2</v>
      </c>
      <c r="O10" s="28">
        <f>N10</f>
        <v>2</v>
      </c>
      <c r="P10" s="2"/>
    </row>
    <row r="11" spans="1:16" ht="34.5" customHeight="1">
      <c r="A11" s="62" t="s">
        <v>143</v>
      </c>
      <c r="B11" s="2"/>
      <c r="C11" s="2"/>
      <c r="D11" s="4">
        <v>1</v>
      </c>
      <c r="E11" s="67">
        <v>10</v>
      </c>
      <c r="F11" s="2"/>
      <c r="G11" s="27"/>
      <c r="H11" s="2"/>
      <c r="I11" s="28">
        <f>+E11-G11</f>
        <v>10</v>
      </c>
      <c r="J11" s="27"/>
      <c r="K11" s="4">
        <v>0</v>
      </c>
      <c r="L11" s="10">
        <v>10</v>
      </c>
      <c r="M11" s="30">
        <v>1</v>
      </c>
      <c r="N11" s="28">
        <f>J11+L11</f>
        <v>10</v>
      </c>
      <c r="O11" s="28">
        <f>N11</f>
        <v>10</v>
      </c>
      <c r="P11" s="2"/>
    </row>
    <row r="12" spans="1:16" ht="18.75" customHeight="1">
      <c r="A12" s="55" t="s">
        <v>118</v>
      </c>
      <c r="B12" s="2"/>
      <c r="C12" s="2"/>
      <c r="D12" s="60">
        <v>79</v>
      </c>
      <c r="E12" s="31">
        <v>18.52</v>
      </c>
      <c r="F12" s="31"/>
      <c r="G12" s="31">
        <f aca="true" t="shared" si="0" ref="G12:N12">SUM(G8:G11)</f>
        <v>0</v>
      </c>
      <c r="H12" s="31"/>
      <c r="I12" s="31">
        <f t="shared" si="0"/>
        <v>18.52</v>
      </c>
      <c r="J12" s="31"/>
      <c r="K12" s="60">
        <f t="shared" si="0"/>
        <v>78</v>
      </c>
      <c r="L12" s="31">
        <f t="shared" si="0"/>
        <v>23.52</v>
      </c>
      <c r="M12" s="60">
        <f t="shared" si="0"/>
        <v>79</v>
      </c>
      <c r="N12" s="31">
        <f t="shared" si="0"/>
        <v>23.52</v>
      </c>
      <c r="O12" s="28">
        <f>N12</f>
        <v>23.52</v>
      </c>
      <c r="P12" s="2"/>
    </row>
  </sheetData>
  <sheetProtection/>
  <mergeCells count="12">
    <mergeCell ref="H5:I6"/>
    <mergeCell ref="J5:N5"/>
    <mergeCell ref="K6:L6"/>
    <mergeCell ref="M6:N6"/>
    <mergeCell ref="O5:O6"/>
    <mergeCell ref="P5:P7"/>
    <mergeCell ref="A1:O1"/>
    <mergeCell ref="A5:A7"/>
    <mergeCell ref="B5:B7"/>
    <mergeCell ref="C5:C7"/>
    <mergeCell ref="D5:E6"/>
    <mergeCell ref="F5:G6"/>
  </mergeCells>
  <printOptions horizontalCentered="1"/>
  <pageMargins left="0.38" right="0.25" top="0.75" bottom="1" header="0.46" footer="0.25"/>
  <pageSetup horizontalDpi="600" verticalDpi="600" orientation="landscape" paperSize="9" scale="90" r:id="rId1"/>
  <headerFooter alignWithMargins="0">
    <oddHeader>&amp;L&amp;A&amp;R&amp;P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15"/>
  <sheetViews>
    <sheetView zoomScale="75" zoomScaleNormal="75" zoomScalePageLayoutView="0" workbookViewId="0" topLeftCell="A1">
      <selection activeCell="F5" sqref="F5:G6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6.57421875" style="22" customWidth="1"/>
    <col min="5" max="5" width="10.57421875" style="22" customWidth="1"/>
    <col min="6" max="6" width="7.28125" style="22" customWidth="1"/>
    <col min="7" max="7" width="11.28125" style="22" bestFit="1" customWidth="1"/>
    <col min="8" max="8" width="7.42187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6.140625" style="22" hidden="1" customWidth="1"/>
    <col min="16" max="16" width="0" style="22" hidden="1" customWidth="1"/>
    <col min="17" max="16384" width="9.140625" style="22" customWidth="1"/>
  </cols>
  <sheetData>
    <row r="1" spans="1:15" ht="18.75">
      <c r="A1" s="142" t="s">
        <v>226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26</v>
      </c>
      <c r="B3" s="24"/>
      <c r="C3" s="24"/>
      <c r="D3" s="24"/>
      <c r="E3" s="24"/>
      <c r="F3" s="46" t="s">
        <v>30</v>
      </c>
      <c r="G3" s="47"/>
      <c r="H3" s="47"/>
      <c r="I3" s="47"/>
    </row>
    <row r="4" ht="12.75">
      <c r="O4" s="22" t="s">
        <v>123</v>
      </c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8" t="s">
        <v>228</v>
      </c>
      <c r="G5" s="138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8"/>
      <c r="G6" s="138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86" t="s">
        <v>0</v>
      </c>
      <c r="G7" s="8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34" customFormat="1" ht="24">
      <c r="A8" s="6" t="s">
        <v>99</v>
      </c>
      <c r="B8" s="33"/>
      <c r="C8" s="33"/>
      <c r="D8" s="5">
        <v>3</v>
      </c>
      <c r="E8" s="28">
        <v>1.75</v>
      </c>
      <c r="F8" s="30"/>
      <c r="G8" s="65">
        <v>0.2</v>
      </c>
      <c r="H8" s="30"/>
      <c r="I8" s="27">
        <f aca="true" t="shared" si="0" ref="I8:I14">+E8-G8</f>
        <v>1.55</v>
      </c>
      <c r="J8" s="27"/>
      <c r="K8" s="5">
        <v>3</v>
      </c>
      <c r="L8" s="8">
        <v>1.75</v>
      </c>
      <c r="M8" s="30">
        <f>+K8</f>
        <v>3</v>
      </c>
      <c r="N8" s="28">
        <f aca="true" t="shared" si="1" ref="N8:N14">+J8+L8</f>
        <v>1.75</v>
      </c>
      <c r="O8" s="126">
        <f>N8-1</f>
        <v>0.75</v>
      </c>
      <c r="P8" s="33"/>
    </row>
    <row r="9" spans="1:16" s="34" customFormat="1" ht="23.25" customHeight="1">
      <c r="A9" s="6" t="s">
        <v>10</v>
      </c>
      <c r="B9" s="35"/>
      <c r="C9" s="35"/>
      <c r="D9" s="5">
        <v>6</v>
      </c>
      <c r="E9" s="28">
        <v>0.6</v>
      </c>
      <c r="F9" s="35"/>
      <c r="G9" s="65">
        <v>0.25</v>
      </c>
      <c r="H9" s="35"/>
      <c r="I9" s="27">
        <f t="shared" si="0"/>
        <v>0.35</v>
      </c>
      <c r="J9" s="27"/>
      <c r="K9" s="5">
        <v>6</v>
      </c>
      <c r="L9" s="8">
        <v>0.6</v>
      </c>
      <c r="M9" s="30">
        <f>+K9</f>
        <v>6</v>
      </c>
      <c r="N9" s="28">
        <f t="shared" si="1"/>
        <v>0.6</v>
      </c>
      <c r="O9" s="28">
        <f>N9</f>
        <v>0.6</v>
      </c>
      <c r="P9" s="33"/>
    </row>
    <row r="10" spans="1:16" ht="24">
      <c r="A10" s="6" t="s">
        <v>11</v>
      </c>
      <c r="B10" s="2"/>
      <c r="C10" s="2"/>
      <c r="D10" s="5">
        <v>0</v>
      </c>
      <c r="E10" s="28">
        <v>0.2</v>
      </c>
      <c r="F10" s="2"/>
      <c r="G10" s="79">
        <v>0.1</v>
      </c>
      <c r="H10" s="2"/>
      <c r="I10" s="27">
        <f t="shared" si="0"/>
        <v>0.1</v>
      </c>
      <c r="J10" s="27"/>
      <c r="K10" s="5"/>
      <c r="L10" s="8">
        <v>0.2</v>
      </c>
      <c r="M10" s="30">
        <f>+K10</f>
        <v>0</v>
      </c>
      <c r="N10" s="28">
        <f t="shared" si="1"/>
        <v>0.2</v>
      </c>
      <c r="O10" s="28">
        <f>N10</f>
        <v>0.2</v>
      </c>
      <c r="P10" s="2"/>
    </row>
    <row r="11" spans="1:16" ht="24">
      <c r="A11" s="6" t="s">
        <v>12</v>
      </c>
      <c r="B11" s="2"/>
      <c r="C11" s="2"/>
      <c r="D11" s="5">
        <v>4</v>
      </c>
      <c r="E11" s="28">
        <v>0.8</v>
      </c>
      <c r="F11" s="2"/>
      <c r="G11" s="65">
        <v>0.3</v>
      </c>
      <c r="H11" s="2"/>
      <c r="I11" s="27">
        <f t="shared" si="0"/>
        <v>0.5</v>
      </c>
      <c r="J11" s="27"/>
      <c r="K11" s="5">
        <v>4</v>
      </c>
      <c r="L11" s="8">
        <v>0.8</v>
      </c>
      <c r="M11" s="30">
        <f>+K11</f>
        <v>4</v>
      </c>
      <c r="N11" s="28">
        <f t="shared" si="1"/>
        <v>0.8</v>
      </c>
      <c r="O11" s="126">
        <v>0.6</v>
      </c>
      <c r="P11" s="2"/>
    </row>
    <row r="12" spans="1:16" ht="36">
      <c r="A12" s="12" t="s">
        <v>219</v>
      </c>
      <c r="B12" s="2"/>
      <c r="C12" s="2"/>
      <c r="D12" s="5"/>
      <c r="E12" s="28">
        <v>0.6</v>
      </c>
      <c r="F12" s="2"/>
      <c r="G12" s="65"/>
      <c r="H12" s="2"/>
      <c r="I12" s="27">
        <f t="shared" si="0"/>
        <v>0.6</v>
      </c>
      <c r="J12" s="27"/>
      <c r="K12" s="5"/>
      <c r="L12" s="8">
        <v>0.6</v>
      </c>
      <c r="M12" s="30"/>
      <c r="N12" s="28">
        <f t="shared" si="1"/>
        <v>0.6</v>
      </c>
      <c r="O12" s="28">
        <f>N12</f>
        <v>0.6</v>
      </c>
      <c r="P12" s="2"/>
    </row>
    <row r="13" spans="1:16" ht="36">
      <c r="A13" s="6" t="s">
        <v>101</v>
      </c>
      <c r="B13" s="2"/>
      <c r="C13" s="2"/>
      <c r="D13" s="5"/>
      <c r="E13" s="28">
        <v>1</v>
      </c>
      <c r="F13" s="2"/>
      <c r="G13" s="65">
        <v>0.70768</v>
      </c>
      <c r="H13" s="2"/>
      <c r="I13" s="27">
        <f t="shared" si="0"/>
        <v>0.29232</v>
      </c>
      <c r="J13" s="27"/>
      <c r="K13" s="5"/>
      <c r="L13" s="8">
        <v>1</v>
      </c>
      <c r="M13" s="30"/>
      <c r="N13" s="28">
        <f t="shared" si="1"/>
        <v>1</v>
      </c>
      <c r="O13" s="28">
        <f>N13</f>
        <v>1</v>
      </c>
      <c r="P13" s="2"/>
    </row>
    <row r="14" spans="1:16" ht="12.75">
      <c r="A14" s="6" t="s">
        <v>87</v>
      </c>
      <c r="B14" s="2"/>
      <c r="C14" s="2"/>
      <c r="D14" s="5"/>
      <c r="E14" s="28">
        <v>0.7</v>
      </c>
      <c r="F14" s="2"/>
      <c r="G14" s="65"/>
      <c r="H14" s="2"/>
      <c r="I14" s="27">
        <f t="shared" si="0"/>
        <v>0.7</v>
      </c>
      <c r="J14" s="27"/>
      <c r="K14" s="5"/>
      <c r="L14" s="8">
        <v>0.7</v>
      </c>
      <c r="M14" s="30"/>
      <c r="N14" s="28">
        <f t="shared" si="1"/>
        <v>0.7</v>
      </c>
      <c r="O14" s="126">
        <v>0.5</v>
      </c>
      <c r="P14" s="2"/>
    </row>
    <row r="15" spans="1:16" ht="12.75">
      <c r="A15" s="63" t="s">
        <v>52</v>
      </c>
      <c r="B15" s="63"/>
      <c r="C15" s="63"/>
      <c r="D15" s="2"/>
      <c r="E15" s="31">
        <v>5.650000000000001</v>
      </c>
      <c r="F15" s="2"/>
      <c r="G15" s="31">
        <f>SUM(G8:G14)</f>
        <v>1.55768</v>
      </c>
      <c r="H15" s="2"/>
      <c r="I15" s="31">
        <f>SUM(I8:I14)</f>
        <v>4.09232</v>
      </c>
      <c r="J15" s="31">
        <f>SUM(J8:J14)</f>
        <v>0</v>
      </c>
      <c r="K15" s="2"/>
      <c r="L15" s="31">
        <f>SUM(L8:L14)</f>
        <v>5.650000000000001</v>
      </c>
      <c r="M15" s="2"/>
      <c r="N15" s="31">
        <f>SUM(N8:N14)</f>
        <v>5.650000000000001</v>
      </c>
      <c r="O15" s="28">
        <f>SUM(O8:O14)</f>
        <v>4.25</v>
      </c>
      <c r="P15" s="2"/>
    </row>
  </sheetData>
  <sheetProtection/>
  <mergeCells count="12">
    <mergeCell ref="P5:P7"/>
    <mergeCell ref="K6:L6"/>
    <mergeCell ref="M6:N6"/>
    <mergeCell ref="F5:G6"/>
    <mergeCell ref="H5:I6"/>
    <mergeCell ref="J5:N5"/>
    <mergeCell ref="A1:O1"/>
    <mergeCell ref="A5:A7"/>
    <mergeCell ref="B5:B7"/>
    <mergeCell ref="C5:C7"/>
    <mergeCell ref="D5:E6"/>
    <mergeCell ref="O5:O6"/>
  </mergeCells>
  <printOptions horizontalCentered="1"/>
  <pageMargins left="0.38" right="0.25" top="0.75" bottom="1" header="0.46" footer="0.25"/>
  <pageSetup horizontalDpi="600" verticalDpi="600" orientation="landscape" paperSize="9" scale="90" r:id="rId1"/>
  <headerFooter alignWithMargins="0"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P17"/>
  <sheetViews>
    <sheetView zoomScale="75" zoomScaleNormal="75" zoomScalePageLayoutView="0" workbookViewId="0" topLeftCell="A1">
      <selection activeCell="F5" sqref="F5:G6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6.28125" style="22" hidden="1" customWidth="1"/>
    <col min="16" max="16" width="0" style="22" hidden="1" customWidth="1"/>
    <col min="17" max="16384" width="9.140625" style="22" customWidth="1"/>
  </cols>
  <sheetData>
    <row r="1" spans="1:16" ht="18.75">
      <c r="A1" s="142" t="s">
        <v>226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26</v>
      </c>
      <c r="B3" s="24"/>
      <c r="C3" s="24"/>
      <c r="D3" s="24"/>
      <c r="E3" s="24"/>
      <c r="F3" s="46" t="s">
        <v>124</v>
      </c>
      <c r="G3" s="47"/>
      <c r="H3" s="47"/>
      <c r="I3" s="47"/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8" t="s">
        <v>228</v>
      </c>
      <c r="G5" s="138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8"/>
      <c r="G6" s="138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86" t="s">
        <v>0</v>
      </c>
      <c r="G7" s="8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34" customFormat="1" ht="24.75" customHeight="1">
      <c r="A8" s="45" t="s">
        <v>125</v>
      </c>
      <c r="B8" s="54"/>
      <c r="C8" s="54"/>
      <c r="D8" s="56">
        <v>3</v>
      </c>
      <c r="E8" s="61">
        <v>0.5</v>
      </c>
      <c r="F8" s="55"/>
      <c r="G8" s="64">
        <v>0.15</v>
      </c>
      <c r="H8" s="55"/>
      <c r="I8" s="10">
        <f>E8-G8</f>
        <v>0.35</v>
      </c>
      <c r="J8" s="32"/>
      <c r="K8" s="56">
        <v>3</v>
      </c>
      <c r="L8" s="10">
        <v>0.5</v>
      </c>
      <c r="M8" s="55">
        <f>+K8</f>
        <v>3</v>
      </c>
      <c r="N8" s="31">
        <f aca="true" t="shared" si="0" ref="N8:N16">+J8+L8</f>
        <v>0.5</v>
      </c>
      <c r="O8" s="31">
        <f>N8</f>
        <v>0.5</v>
      </c>
      <c r="P8" s="33"/>
    </row>
    <row r="9" spans="1:16" s="34" customFormat="1" ht="24.75" customHeight="1">
      <c r="A9" s="45" t="s">
        <v>126</v>
      </c>
      <c r="B9" s="58"/>
      <c r="C9" s="58"/>
      <c r="D9" s="56">
        <v>6</v>
      </c>
      <c r="E9" s="61">
        <v>0.6</v>
      </c>
      <c r="F9" s="58"/>
      <c r="G9" s="64">
        <v>0.2</v>
      </c>
      <c r="H9" s="58"/>
      <c r="I9" s="10">
        <f aca="true" t="shared" si="1" ref="I9:I16">E9-G9</f>
        <v>0.39999999999999997</v>
      </c>
      <c r="J9" s="32"/>
      <c r="K9" s="56">
        <v>6</v>
      </c>
      <c r="L9" s="10">
        <v>0.6</v>
      </c>
      <c r="M9" s="55">
        <f>+K9</f>
        <v>6</v>
      </c>
      <c r="N9" s="31">
        <f t="shared" si="0"/>
        <v>0.6</v>
      </c>
      <c r="O9" s="31">
        <f aca="true" t="shared" si="2" ref="O9:O16">N9</f>
        <v>0.6</v>
      </c>
      <c r="P9" s="33"/>
    </row>
    <row r="10" spans="1:16" ht="24.75" customHeight="1">
      <c r="A10" s="45" t="s">
        <v>127</v>
      </c>
      <c r="B10" s="54"/>
      <c r="C10" s="54"/>
      <c r="D10" s="56">
        <v>0</v>
      </c>
      <c r="E10" s="61">
        <v>0.2</v>
      </c>
      <c r="F10" s="54"/>
      <c r="G10" s="64">
        <v>0.1</v>
      </c>
      <c r="H10" s="54"/>
      <c r="I10" s="10">
        <f t="shared" si="1"/>
        <v>0.1</v>
      </c>
      <c r="J10" s="32"/>
      <c r="K10" s="56"/>
      <c r="L10" s="10">
        <v>0.2</v>
      </c>
      <c r="M10" s="55">
        <f>+K10</f>
        <v>0</v>
      </c>
      <c r="N10" s="31">
        <f t="shared" si="0"/>
        <v>0.2</v>
      </c>
      <c r="O10" s="31">
        <f t="shared" si="2"/>
        <v>0.2</v>
      </c>
      <c r="P10" s="2"/>
    </row>
    <row r="11" spans="1:16" ht="24.75" customHeight="1">
      <c r="A11" s="45" t="s">
        <v>128</v>
      </c>
      <c r="B11" s="54"/>
      <c r="C11" s="54"/>
      <c r="D11" s="56">
        <v>0</v>
      </c>
      <c r="E11" s="61">
        <v>1</v>
      </c>
      <c r="F11" s="54"/>
      <c r="G11" s="64">
        <v>0</v>
      </c>
      <c r="H11" s="54"/>
      <c r="I11" s="10">
        <f t="shared" si="1"/>
        <v>1</v>
      </c>
      <c r="J11" s="32"/>
      <c r="K11" s="56"/>
      <c r="L11" s="10">
        <v>1</v>
      </c>
      <c r="M11" s="55">
        <f>+K11</f>
        <v>0</v>
      </c>
      <c r="N11" s="31">
        <f t="shared" si="0"/>
        <v>1</v>
      </c>
      <c r="O11" s="31">
        <f t="shared" si="2"/>
        <v>1</v>
      </c>
      <c r="P11" s="2"/>
    </row>
    <row r="12" spans="1:16" ht="24.75" customHeight="1">
      <c r="A12" s="45" t="s">
        <v>129</v>
      </c>
      <c r="B12" s="54"/>
      <c r="C12" s="54"/>
      <c r="D12" s="56">
        <v>4</v>
      </c>
      <c r="E12" s="61">
        <v>0.8</v>
      </c>
      <c r="F12" s="54"/>
      <c r="G12" s="64">
        <v>0.3</v>
      </c>
      <c r="H12" s="54"/>
      <c r="I12" s="10">
        <f t="shared" si="1"/>
        <v>0.5</v>
      </c>
      <c r="J12" s="32"/>
      <c r="K12" s="56">
        <v>4</v>
      </c>
      <c r="L12" s="10">
        <v>0.8</v>
      </c>
      <c r="M12" s="55">
        <f>+K12</f>
        <v>4</v>
      </c>
      <c r="N12" s="31">
        <f t="shared" si="0"/>
        <v>0.8</v>
      </c>
      <c r="O12" s="31">
        <f t="shared" si="2"/>
        <v>0.8</v>
      </c>
      <c r="P12" s="2"/>
    </row>
    <row r="13" spans="1:16" ht="24.75" customHeight="1">
      <c r="A13" s="45" t="s">
        <v>130</v>
      </c>
      <c r="B13" s="54"/>
      <c r="C13" s="54"/>
      <c r="D13" s="56"/>
      <c r="E13" s="61">
        <v>0.6</v>
      </c>
      <c r="F13" s="54"/>
      <c r="G13" s="64"/>
      <c r="H13" s="54"/>
      <c r="I13" s="10">
        <f t="shared" si="1"/>
        <v>0.6</v>
      </c>
      <c r="J13" s="32"/>
      <c r="K13" s="56"/>
      <c r="L13" s="10">
        <v>0.6</v>
      </c>
      <c r="M13" s="55"/>
      <c r="N13" s="31">
        <f t="shared" si="0"/>
        <v>0.6</v>
      </c>
      <c r="O13" s="31">
        <f t="shared" si="2"/>
        <v>0.6</v>
      </c>
      <c r="P13" s="2"/>
    </row>
    <row r="14" spans="1:16" ht="12.75">
      <c r="A14" s="70" t="s">
        <v>131</v>
      </c>
      <c r="B14" s="54"/>
      <c r="C14" s="54"/>
      <c r="D14" s="56"/>
      <c r="E14" s="61">
        <v>1.5</v>
      </c>
      <c r="F14" s="54"/>
      <c r="G14" s="64"/>
      <c r="H14" s="54"/>
      <c r="I14" s="10">
        <f t="shared" si="1"/>
        <v>1.5</v>
      </c>
      <c r="J14" s="32"/>
      <c r="K14" s="56"/>
      <c r="L14" s="10">
        <v>1.5</v>
      </c>
      <c r="M14" s="55"/>
      <c r="N14" s="31">
        <f t="shared" si="0"/>
        <v>1.5</v>
      </c>
      <c r="O14" s="127">
        <v>0.5</v>
      </c>
      <c r="P14" s="2"/>
    </row>
    <row r="15" spans="1:16" ht="25.5">
      <c r="A15" s="45" t="s">
        <v>132</v>
      </c>
      <c r="B15" s="54"/>
      <c r="C15" s="54"/>
      <c r="D15" s="56"/>
      <c r="E15" s="61">
        <v>2</v>
      </c>
      <c r="F15" s="54"/>
      <c r="G15" s="64"/>
      <c r="H15" s="54"/>
      <c r="I15" s="32">
        <f t="shared" si="1"/>
        <v>2</v>
      </c>
      <c r="J15" s="32"/>
      <c r="K15" s="56"/>
      <c r="L15" s="32">
        <v>2</v>
      </c>
      <c r="M15" s="55"/>
      <c r="N15" s="31">
        <f t="shared" si="0"/>
        <v>2</v>
      </c>
      <c r="O15" s="127">
        <f>N15-1</f>
        <v>1</v>
      </c>
      <c r="P15" s="2"/>
    </row>
    <row r="16" spans="1:16" ht="12.75">
      <c r="A16" s="45" t="s">
        <v>89</v>
      </c>
      <c r="B16" s="54"/>
      <c r="C16" s="54"/>
      <c r="D16" s="56"/>
      <c r="E16" s="61">
        <v>0.2</v>
      </c>
      <c r="F16" s="54"/>
      <c r="G16" s="64"/>
      <c r="H16" s="54"/>
      <c r="I16" s="32">
        <f t="shared" si="1"/>
        <v>0.2</v>
      </c>
      <c r="J16" s="32"/>
      <c r="K16" s="56"/>
      <c r="L16" s="32">
        <v>0.2</v>
      </c>
      <c r="M16" s="55"/>
      <c r="N16" s="31">
        <f t="shared" si="0"/>
        <v>0.2</v>
      </c>
      <c r="O16" s="31">
        <f t="shared" si="2"/>
        <v>0.2</v>
      </c>
      <c r="P16" s="2"/>
    </row>
    <row r="17" spans="1:16" s="24" customFormat="1" ht="12.75">
      <c r="A17" s="63" t="s">
        <v>52</v>
      </c>
      <c r="B17" s="63"/>
      <c r="C17" s="63"/>
      <c r="D17" s="55"/>
      <c r="E17" s="31">
        <v>7.3999999999999995</v>
      </c>
      <c r="F17" s="55"/>
      <c r="G17" s="31">
        <f>SUM(G8:G16)</f>
        <v>0.75</v>
      </c>
      <c r="H17" s="55"/>
      <c r="I17" s="31">
        <f>SUM(I8:I16)</f>
        <v>6.65</v>
      </c>
      <c r="J17" s="31">
        <f>SUM(J8:J16)</f>
        <v>0</v>
      </c>
      <c r="K17" s="55"/>
      <c r="L17" s="31">
        <f>SUM(L8:L16)</f>
        <v>7.3999999999999995</v>
      </c>
      <c r="M17" s="55"/>
      <c r="N17" s="31">
        <f>SUM(N8:N16)</f>
        <v>7.3999999999999995</v>
      </c>
      <c r="O17" s="31">
        <f>SUM(O8:O16)</f>
        <v>5.3999999999999995</v>
      </c>
      <c r="P17" s="55"/>
    </row>
  </sheetData>
  <sheetProtection/>
  <mergeCells count="12">
    <mergeCell ref="F5:G6"/>
    <mergeCell ref="H5:I6"/>
    <mergeCell ref="J5:N5"/>
    <mergeCell ref="O5:O6"/>
    <mergeCell ref="K6:L6"/>
    <mergeCell ref="M6:N6"/>
    <mergeCell ref="A1:P1"/>
    <mergeCell ref="P5:P7"/>
    <mergeCell ref="A5:A7"/>
    <mergeCell ref="B5:B7"/>
    <mergeCell ref="C5:C7"/>
    <mergeCell ref="D5:E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P13"/>
  <sheetViews>
    <sheetView zoomScale="75" zoomScaleNormal="75" zoomScalePageLayoutView="0" workbookViewId="0" topLeftCell="A1">
      <selection activeCell="F5" sqref="F5:G6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6.28125" style="22" hidden="1" customWidth="1"/>
    <col min="16" max="16" width="0" style="22" hidden="1" customWidth="1"/>
    <col min="17" max="16384" width="9.140625" style="22" customWidth="1"/>
  </cols>
  <sheetData>
    <row r="1" spans="1:14" ht="18.75">
      <c r="A1" s="142" t="s">
        <v>226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26</v>
      </c>
      <c r="B3" s="24"/>
      <c r="C3" s="24"/>
      <c r="D3" s="24"/>
      <c r="E3" s="24"/>
      <c r="F3" s="46" t="s">
        <v>135</v>
      </c>
      <c r="G3" s="47"/>
      <c r="H3" s="47"/>
      <c r="I3" s="47"/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9" t="s">
        <v>228</v>
      </c>
      <c r="G5" s="139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9"/>
      <c r="G6" s="139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34" customFormat="1" ht="38.25">
      <c r="A8" s="45" t="s">
        <v>136</v>
      </c>
      <c r="B8" s="54"/>
      <c r="C8" s="54"/>
      <c r="D8" s="56">
        <v>0</v>
      </c>
      <c r="E8" s="61">
        <v>0.6</v>
      </c>
      <c r="F8" s="55"/>
      <c r="G8" s="32">
        <v>0.15</v>
      </c>
      <c r="H8" s="55"/>
      <c r="I8" s="32">
        <f>E8-G8</f>
        <v>0.44999999999999996</v>
      </c>
      <c r="J8" s="32"/>
      <c r="K8" s="56"/>
      <c r="L8" s="57">
        <v>0.6</v>
      </c>
      <c r="M8" s="55">
        <f>+K8</f>
        <v>0</v>
      </c>
      <c r="N8" s="31">
        <f>+J8+L8</f>
        <v>0.6</v>
      </c>
      <c r="O8" s="31">
        <f>N8</f>
        <v>0.6</v>
      </c>
      <c r="P8" s="33"/>
    </row>
    <row r="9" spans="1:16" s="34" customFormat="1" ht="25.5">
      <c r="A9" s="45" t="s">
        <v>137</v>
      </c>
      <c r="B9" s="58"/>
      <c r="C9" s="58"/>
      <c r="D9" s="56">
        <v>0</v>
      </c>
      <c r="E9" s="61">
        <v>0.8</v>
      </c>
      <c r="F9" s="58"/>
      <c r="G9" s="32">
        <v>0.15</v>
      </c>
      <c r="H9" s="58"/>
      <c r="I9" s="32">
        <f>E9-G9</f>
        <v>0.65</v>
      </c>
      <c r="J9" s="32"/>
      <c r="K9" s="56"/>
      <c r="L9" s="57">
        <v>0.8</v>
      </c>
      <c r="M9" s="55">
        <f>+K9</f>
        <v>0</v>
      </c>
      <c r="N9" s="31">
        <f>+J9+L9</f>
        <v>0.8</v>
      </c>
      <c r="O9" s="31">
        <f>N9</f>
        <v>0.8</v>
      </c>
      <c r="P9" s="33"/>
    </row>
    <row r="10" spans="1:16" ht="12.75">
      <c r="A10" s="70" t="s">
        <v>131</v>
      </c>
      <c r="B10" s="54"/>
      <c r="C10" s="54"/>
      <c r="D10" s="56">
        <v>0</v>
      </c>
      <c r="E10" s="61">
        <v>1.5</v>
      </c>
      <c r="F10" s="54"/>
      <c r="G10" s="32"/>
      <c r="H10" s="54"/>
      <c r="I10" s="32">
        <f>E10-G10</f>
        <v>1.5</v>
      </c>
      <c r="J10" s="32"/>
      <c r="K10" s="56"/>
      <c r="L10" s="57">
        <v>1.5</v>
      </c>
      <c r="M10" s="55">
        <f>+K10</f>
        <v>0</v>
      </c>
      <c r="N10" s="31">
        <f>+J10+L10</f>
        <v>1.5</v>
      </c>
      <c r="O10" s="127">
        <f>N10-1</f>
        <v>0.5</v>
      </c>
      <c r="P10" s="2"/>
    </row>
    <row r="11" spans="1:16" ht="38.25">
      <c r="A11" s="45" t="s">
        <v>138</v>
      </c>
      <c r="B11" s="54"/>
      <c r="C11" s="54"/>
      <c r="D11" s="56">
        <v>0</v>
      </c>
      <c r="E11" s="61">
        <v>2</v>
      </c>
      <c r="F11" s="54"/>
      <c r="G11" s="32"/>
      <c r="H11" s="54"/>
      <c r="I11" s="32">
        <f>E11-G11</f>
        <v>2</v>
      </c>
      <c r="J11" s="32"/>
      <c r="K11" s="56"/>
      <c r="L11" s="57">
        <v>2</v>
      </c>
      <c r="M11" s="55">
        <f>+K11</f>
        <v>0</v>
      </c>
      <c r="N11" s="31">
        <f>+J11+L11</f>
        <v>2</v>
      </c>
      <c r="O11" s="127">
        <f>N11-1</f>
        <v>1</v>
      </c>
      <c r="P11" s="2"/>
    </row>
    <row r="12" spans="1:16" ht="12.75">
      <c r="A12" s="45" t="s">
        <v>89</v>
      </c>
      <c r="B12" s="54"/>
      <c r="C12" s="54"/>
      <c r="D12" s="56"/>
      <c r="E12" s="61">
        <v>0.35</v>
      </c>
      <c r="F12" s="54"/>
      <c r="G12" s="32"/>
      <c r="H12" s="54"/>
      <c r="I12" s="32">
        <f>E12-G12</f>
        <v>0.35</v>
      </c>
      <c r="J12" s="32"/>
      <c r="K12" s="56"/>
      <c r="L12" s="57">
        <v>0.35</v>
      </c>
      <c r="M12" s="55"/>
      <c r="N12" s="31">
        <f>+J12+L12</f>
        <v>0.35</v>
      </c>
      <c r="O12" s="31">
        <f>N12</f>
        <v>0.35</v>
      </c>
      <c r="P12" s="2"/>
    </row>
    <row r="13" spans="1:16" s="24" customFormat="1" ht="12.75">
      <c r="A13" s="63" t="s">
        <v>52</v>
      </c>
      <c r="B13" s="63"/>
      <c r="C13" s="63"/>
      <c r="D13" s="55"/>
      <c r="E13" s="31">
        <v>5.25</v>
      </c>
      <c r="F13" s="55"/>
      <c r="G13" s="31">
        <f>SUM(G8:G12)</f>
        <v>0.3</v>
      </c>
      <c r="H13" s="55"/>
      <c r="I13" s="31">
        <f>SUM(I8:I12)</f>
        <v>4.949999999999999</v>
      </c>
      <c r="J13" s="31">
        <f>SUM(J8:J12)</f>
        <v>0</v>
      </c>
      <c r="K13" s="55"/>
      <c r="L13" s="31">
        <f>SUM(L8:L12)</f>
        <v>5.25</v>
      </c>
      <c r="M13" s="55"/>
      <c r="N13" s="31">
        <f>SUM(N8:N12)</f>
        <v>5.25</v>
      </c>
      <c r="O13" s="31">
        <f>SUM(O8:O12)</f>
        <v>3.25</v>
      </c>
      <c r="P13" s="55"/>
    </row>
  </sheetData>
  <sheetProtection/>
  <mergeCells count="12">
    <mergeCell ref="P5:P7"/>
    <mergeCell ref="O5:O6"/>
    <mergeCell ref="K6:L6"/>
    <mergeCell ref="M6:N6"/>
    <mergeCell ref="A1:N1"/>
    <mergeCell ref="A5:A7"/>
    <mergeCell ref="B5:B7"/>
    <mergeCell ref="C5:C7"/>
    <mergeCell ref="D5:E6"/>
    <mergeCell ref="F5:G6"/>
    <mergeCell ref="H5:I6"/>
    <mergeCell ref="J5:N5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17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9.421875" style="22" customWidth="1"/>
    <col min="8" max="8" width="6.7109375" style="22" customWidth="1"/>
    <col min="9" max="9" width="8.7109375" style="22" customWidth="1"/>
    <col min="10" max="10" width="12.28125" style="22" customWidth="1"/>
    <col min="11" max="11" width="6.8515625" style="22" customWidth="1"/>
    <col min="12" max="12" width="9.57421875" style="22" customWidth="1"/>
    <col min="13" max="13" width="5.8515625" style="22" customWidth="1"/>
    <col min="14" max="14" width="8.421875" style="22" customWidth="1"/>
    <col min="15" max="15" width="16.140625" style="22" hidden="1" customWidth="1"/>
    <col min="16" max="16" width="0" style="22" hidden="1" customWidth="1"/>
    <col min="17" max="16384" width="9.140625" style="22" customWidth="1"/>
  </cols>
  <sheetData>
    <row r="1" spans="1:16" ht="18.75">
      <c r="A1" s="142" t="s">
        <v>226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26</v>
      </c>
      <c r="B3" s="24"/>
      <c r="C3" s="24"/>
      <c r="D3" s="24"/>
      <c r="E3" s="24"/>
      <c r="F3" s="46" t="s">
        <v>105</v>
      </c>
      <c r="G3" s="47"/>
      <c r="H3" s="47"/>
      <c r="I3" s="47"/>
    </row>
    <row r="4" ht="12.75">
      <c r="O4" s="22" t="s">
        <v>123</v>
      </c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8" t="s">
        <v>228</v>
      </c>
      <c r="G5" s="138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8"/>
      <c r="G6" s="138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86" t="s">
        <v>0</v>
      </c>
      <c r="G7" s="8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34" customFormat="1" ht="36">
      <c r="A8" s="6" t="s">
        <v>102</v>
      </c>
      <c r="B8" s="33"/>
      <c r="C8" s="33"/>
      <c r="D8" s="5">
        <v>0</v>
      </c>
      <c r="E8" s="53">
        <v>2</v>
      </c>
      <c r="F8" s="30"/>
      <c r="G8" s="102"/>
      <c r="H8" s="30"/>
      <c r="I8" s="27">
        <f>E8-G8</f>
        <v>2</v>
      </c>
      <c r="J8" s="27"/>
      <c r="K8" s="5">
        <v>0</v>
      </c>
      <c r="L8" s="51">
        <v>0</v>
      </c>
      <c r="M8" s="30">
        <f>+K8</f>
        <v>0</v>
      </c>
      <c r="N8" s="53">
        <f aca="true" t="shared" si="0" ref="N8:N16">+J8+L8</f>
        <v>0</v>
      </c>
      <c r="O8" s="53"/>
      <c r="P8" s="33"/>
    </row>
    <row r="9" spans="1:16" s="34" customFormat="1" ht="24">
      <c r="A9" s="6" t="s">
        <v>142</v>
      </c>
      <c r="B9" s="35"/>
      <c r="C9" s="35"/>
      <c r="D9" s="5">
        <v>0</v>
      </c>
      <c r="E9" s="53">
        <v>0</v>
      </c>
      <c r="F9" s="35"/>
      <c r="G9" s="102">
        <v>0</v>
      </c>
      <c r="H9" s="35"/>
      <c r="I9" s="27">
        <f aca="true" t="shared" si="1" ref="I9:I16">E9-G9</f>
        <v>0</v>
      </c>
      <c r="J9" s="27"/>
      <c r="K9" s="5">
        <v>0</v>
      </c>
      <c r="L9" s="51">
        <v>0</v>
      </c>
      <c r="M9" s="30">
        <f>+K9</f>
        <v>0</v>
      </c>
      <c r="N9" s="53">
        <f t="shared" si="0"/>
        <v>0</v>
      </c>
      <c r="O9" s="53"/>
      <c r="P9" s="33"/>
    </row>
    <row r="10" spans="1:16" ht="36">
      <c r="A10" s="12" t="s">
        <v>166</v>
      </c>
      <c r="B10" s="2"/>
      <c r="C10" s="2"/>
      <c r="D10" s="5">
        <v>0</v>
      </c>
      <c r="E10" s="53">
        <v>4</v>
      </c>
      <c r="F10" s="2"/>
      <c r="G10" s="102">
        <v>0</v>
      </c>
      <c r="H10" s="2"/>
      <c r="I10" s="27">
        <f t="shared" si="1"/>
        <v>4</v>
      </c>
      <c r="J10" s="7"/>
      <c r="K10" s="5"/>
      <c r="L10" s="51">
        <v>5</v>
      </c>
      <c r="M10" s="30">
        <f>+K10</f>
        <v>0</v>
      </c>
      <c r="N10" s="53">
        <f t="shared" si="0"/>
        <v>5</v>
      </c>
      <c r="O10" s="53"/>
      <c r="P10" s="2"/>
    </row>
    <row r="11" spans="1:16" ht="24">
      <c r="A11" s="6" t="s">
        <v>104</v>
      </c>
      <c r="B11" s="2"/>
      <c r="C11" s="2"/>
      <c r="D11" s="5"/>
      <c r="E11" s="53">
        <v>0</v>
      </c>
      <c r="F11" s="2"/>
      <c r="G11" s="102"/>
      <c r="H11" s="2"/>
      <c r="I11" s="27">
        <f t="shared" si="1"/>
        <v>0</v>
      </c>
      <c r="J11" s="27"/>
      <c r="K11" s="5"/>
      <c r="L11" s="51">
        <v>0</v>
      </c>
      <c r="M11" s="30"/>
      <c r="N11" s="53">
        <f t="shared" si="0"/>
        <v>0</v>
      </c>
      <c r="O11" s="53"/>
      <c r="P11" s="2"/>
    </row>
    <row r="12" spans="1:16" ht="25.5">
      <c r="A12" s="1" t="s">
        <v>103</v>
      </c>
      <c r="B12" s="2"/>
      <c r="C12" s="2"/>
      <c r="D12" s="26">
        <v>3</v>
      </c>
      <c r="E12" s="53">
        <v>2</v>
      </c>
      <c r="F12" s="2"/>
      <c r="G12" s="102"/>
      <c r="H12" s="2"/>
      <c r="I12" s="27">
        <f t="shared" si="1"/>
        <v>2</v>
      </c>
      <c r="J12" s="27"/>
      <c r="K12" s="5">
        <v>3</v>
      </c>
      <c r="L12" s="51">
        <v>3</v>
      </c>
      <c r="M12" s="30">
        <f>+K12</f>
        <v>3</v>
      </c>
      <c r="N12" s="53">
        <f t="shared" si="0"/>
        <v>3</v>
      </c>
      <c r="O12" s="53"/>
      <c r="P12" s="2"/>
    </row>
    <row r="13" spans="1:16" ht="24">
      <c r="A13" s="12" t="s">
        <v>215</v>
      </c>
      <c r="B13" s="2"/>
      <c r="C13" s="2"/>
      <c r="D13" s="26">
        <v>4</v>
      </c>
      <c r="E13" s="53">
        <v>2</v>
      </c>
      <c r="F13" s="2"/>
      <c r="G13" s="102">
        <v>1.21979</v>
      </c>
      <c r="H13" s="2"/>
      <c r="I13" s="27">
        <f t="shared" si="1"/>
        <v>0.7802100000000001</v>
      </c>
      <c r="J13" s="27"/>
      <c r="K13" s="5"/>
      <c r="L13" s="51">
        <v>2</v>
      </c>
      <c r="M13" s="30">
        <v>4</v>
      </c>
      <c r="N13" s="53">
        <f t="shared" si="0"/>
        <v>2</v>
      </c>
      <c r="O13" s="53"/>
      <c r="P13" s="2"/>
    </row>
    <row r="14" spans="1:16" ht="24">
      <c r="A14" s="6" t="s">
        <v>120</v>
      </c>
      <c r="B14" s="2"/>
      <c r="C14" s="2"/>
      <c r="D14" s="5"/>
      <c r="E14" s="53">
        <v>6</v>
      </c>
      <c r="F14" s="2"/>
      <c r="G14" s="102"/>
      <c r="H14" s="2"/>
      <c r="I14" s="27">
        <f t="shared" si="1"/>
        <v>6</v>
      </c>
      <c r="J14" s="27"/>
      <c r="K14" s="5"/>
      <c r="L14" s="51">
        <v>10</v>
      </c>
      <c r="M14" s="30"/>
      <c r="N14" s="53">
        <f t="shared" si="0"/>
        <v>10</v>
      </c>
      <c r="O14" s="53"/>
      <c r="P14" s="2"/>
    </row>
    <row r="15" spans="1:16" ht="24">
      <c r="A15" s="6" t="s">
        <v>148</v>
      </c>
      <c r="B15" s="2"/>
      <c r="C15" s="2"/>
      <c r="D15" s="5"/>
      <c r="E15" s="53">
        <v>20</v>
      </c>
      <c r="F15" s="2"/>
      <c r="G15" s="102">
        <v>0.74639</v>
      </c>
      <c r="H15" s="2"/>
      <c r="I15" s="27">
        <f t="shared" si="1"/>
        <v>19.25361</v>
      </c>
      <c r="J15" s="27"/>
      <c r="K15" s="5"/>
      <c r="L15" s="51">
        <v>10</v>
      </c>
      <c r="M15" s="30"/>
      <c r="N15" s="53">
        <f t="shared" si="0"/>
        <v>10</v>
      </c>
      <c r="O15" s="128"/>
      <c r="P15" s="77"/>
    </row>
    <row r="16" spans="1:16" ht="12.75">
      <c r="A16" s="14" t="s">
        <v>91</v>
      </c>
      <c r="B16" s="2"/>
      <c r="C16" s="2"/>
      <c r="D16" s="5"/>
      <c r="E16" s="53">
        <v>1</v>
      </c>
      <c r="F16" s="2"/>
      <c r="G16" s="102"/>
      <c r="H16" s="2"/>
      <c r="I16" s="27">
        <f t="shared" si="1"/>
        <v>1</v>
      </c>
      <c r="J16" s="27"/>
      <c r="K16" s="5"/>
      <c r="L16" s="51">
        <v>5</v>
      </c>
      <c r="M16" s="30"/>
      <c r="N16" s="53">
        <f t="shared" si="0"/>
        <v>5</v>
      </c>
      <c r="O16" s="53"/>
      <c r="P16" s="2"/>
    </row>
    <row r="17" spans="1:16" ht="12.75">
      <c r="A17" s="63" t="s">
        <v>52</v>
      </c>
      <c r="B17" s="63"/>
      <c r="C17" s="63"/>
      <c r="D17" s="52"/>
      <c r="E17" s="52">
        <v>37</v>
      </c>
      <c r="F17" s="52"/>
      <c r="G17" s="31">
        <f>SUM(G8:G15)</f>
        <v>1.96618</v>
      </c>
      <c r="H17" s="52"/>
      <c r="I17" s="52">
        <f>SUM(I8:I16)</f>
        <v>35.03382</v>
      </c>
      <c r="J17" s="52"/>
      <c r="K17" s="52"/>
      <c r="L17" s="52">
        <f>SUM(L8:L16)</f>
        <v>35</v>
      </c>
      <c r="M17" s="2"/>
      <c r="N17" s="52">
        <f>SUM(N8:N16)</f>
        <v>35</v>
      </c>
      <c r="O17" s="53">
        <f>SUM(O8:O16)</f>
        <v>0</v>
      </c>
      <c r="P17" s="2"/>
    </row>
  </sheetData>
  <sheetProtection/>
  <mergeCells count="12">
    <mergeCell ref="F5:G6"/>
    <mergeCell ref="H5:I6"/>
    <mergeCell ref="J5:N5"/>
    <mergeCell ref="K6:L6"/>
    <mergeCell ref="M6:N6"/>
    <mergeCell ref="O5:O6"/>
    <mergeCell ref="A1:P1"/>
    <mergeCell ref="P5:P7"/>
    <mergeCell ref="A5:A7"/>
    <mergeCell ref="B5:B7"/>
    <mergeCell ref="C5:C7"/>
    <mergeCell ref="D5:E6"/>
  </mergeCells>
  <printOptions horizontalCentered="1"/>
  <pageMargins left="0.38" right="0.25" top="0.75" bottom="1" header="0.46" footer="0.25"/>
  <pageSetup horizontalDpi="600" verticalDpi="600" orientation="landscape" paperSize="9" scale="95" r:id="rId1"/>
  <headerFooter alignWithMargins="0">
    <oddHeader>&amp;L&amp;A&amp;R&amp;P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"/>
  <sheetViews>
    <sheetView zoomScalePageLayoutView="0" workbookViewId="0" topLeftCell="A4">
      <selection activeCell="L12" sqref="L12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5.421875" style="22" hidden="1" customWidth="1"/>
    <col min="16" max="16" width="0" style="22" hidden="1" customWidth="1"/>
    <col min="17" max="16384" width="9.140625" style="22" customWidth="1"/>
  </cols>
  <sheetData>
    <row r="1" spans="1:16" ht="18.75">
      <c r="A1" s="142" t="s">
        <v>226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26</v>
      </c>
      <c r="B3" s="24"/>
      <c r="C3" s="24"/>
      <c r="D3" s="24"/>
      <c r="E3" s="24"/>
      <c r="F3" s="46" t="s">
        <v>31</v>
      </c>
      <c r="G3" s="47"/>
      <c r="H3" s="47"/>
      <c r="I3" s="47"/>
    </row>
    <row r="4" ht="12.75">
      <c r="O4" s="22" t="s">
        <v>123</v>
      </c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8" t="s">
        <v>228</v>
      </c>
      <c r="G5" s="138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8"/>
      <c r="G6" s="138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86" t="s">
        <v>0</v>
      </c>
      <c r="G7" s="8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34" customFormat="1" ht="24">
      <c r="A8" s="6" t="s">
        <v>11</v>
      </c>
      <c r="B8" s="33"/>
      <c r="C8" s="33"/>
      <c r="D8" s="5">
        <v>3</v>
      </c>
      <c r="E8" s="28">
        <v>2</v>
      </c>
      <c r="F8" s="30"/>
      <c r="G8" s="102"/>
      <c r="H8" s="30"/>
      <c r="I8" s="27">
        <f>+E8-G8</f>
        <v>2</v>
      </c>
      <c r="J8" s="27"/>
      <c r="K8" s="5">
        <v>3</v>
      </c>
      <c r="L8" s="8">
        <v>3</v>
      </c>
      <c r="M8" s="30">
        <f>+K8</f>
        <v>3</v>
      </c>
      <c r="N8" s="28">
        <f>L8</f>
        <v>3</v>
      </c>
      <c r="O8" s="28"/>
      <c r="P8" s="33"/>
    </row>
    <row r="9" spans="1:16" ht="12.75">
      <c r="A9" s="1" t="s">
        <v>13</v>
      </c>
      <c r="B9" s="2"/>
      <c r="C9" s="2"/>
      <c r="D9" s="5">
        <v>0</v>
      </c>
      <c r="E9" s="28">
        <v>0</v>
      </c>
      <c r="F9" s="2"/>
      <c r="G9" s="102"/>
      <c r="H9" s="2"/>
      <c r="I9" s="27">
        <f aca="true" t="shared" si="0" ref="I9:I14">+E9-G9</f>
        <v>0</v>
      </c>
      <c r="J9" s="27"/>
      <c r="K9" s="5">
        <v>0</v>
      </c>
      <c r="L9" s="8">
        <v>0</v>
      </c>
      <c r="M9" s="30">
        <f>+K9</f>
        <v>0</v>
      </c>
      <c r="N9" s="28">
        <f aca="true" t="shared" si="1" ref="N9:N14">L9</f>
        <v>0</v>
      </c>
      <c r="O9" s="28"/>
      <c r="P9" s="2"/>
    </row>
    <row r="10" spans="1:16" ht="25.5">
      <c r="A10" s="75" t="s">
        <v>170</v>
      </c>
      <c r="B10" s="2"/>
      <c r="C10" s="2"/>
      <c r="D10" s="5"/>
      <c r="E10" s="28">
        <v>3</v>
      </c>
      <c r="F10" s="2"/>
      <c r="G10" s="102"/>
      <c r="H10" s="2"/>
      <c r="I10" s="27">
        <f t="shared" si="0"/>
        <v>3</v>
      </c>
      <c r="J10" s="27"/>
      <c r="K10" s="5">
        <v>2</v>
      </c>
      <c r="L10" s="8">
        <v>3</v>
      </c>
      <c r="M10" s="30"/>
      <c r="N10" s="28">
        <f t="shared" si="1"/>
        <v>3</v>
      </c>
      <c r="O10" s="28"/>
      <c r="P10" s="2"/>
    </row>
    <row r="11" spans="1:16" ht="63.75">
      <c r="A11" s="75" t="s">
        <v>224</v>
      </c>
      <c r="B11" s="2"/>
      <c r="C11" s="2"/>
      <c r="D11" s="5"/>
      <c r="E11" s="28">
        <v>5</v>
      </c>
      <c r="F11" s="2"/>
      <c r="G11" s="102"/>
      <c r="H11" s="2"/>
      <c r="I11" s="27">
        <f t="shared" si="0"/>
        <v>5</v>
      </c>
      <c r="J11" s="27"/>
      <c r="K11" s="5"/>
      <c r="L11" s="8">
        <v>5</v>
      </c>
      <c r="M11" s="30"/>
      <c r="N11" s="28">
        <f t="shared" si="1"/>
        <v>5</v>
      </c>
      <c r="O11" s="126"/>
      <c r="P11" s="2"/>
    </row>
    <row r="12" spans="1:16" ht="27.75" customHeight="1">
      <c r="A12" s="75" t="s">
        <v>171</v>
      </c>
      <c r="B12" s="2"/>
      <c r="C12" s="2"/>
      <c r="D12" s="5"/>
      <c r="E12" s="28">
        <v>2</v>
      </c>
      <c r="F12" s="2"/>
      <c r="G12" s="102"/>
      <c r="H12" s="2"/>
      <c r="I12" s="27">
        <f t="shared" si="0"/>
        <v>2</v>
      </c>
      <c r="J12" s="27"/>
      <c r="K12" s="5"/>
      <c r="L12" s="8">
        <v>2</v>
      </c>
      <c r="M12" s="30"/>
      <c r="N12" s="28">
        <f t="shared" si="1"/>
        <v>2</v>
      </c>
      <c r="O12" s="28"/>
      <c r="P12" s="2"/>
    </row>
    <row r="13" spans="1:16" ht="25.5">
      <c r="A13" s="75" t="s">
        <v>172</v>
      </c>
      <c r="B13" s="2"/>
      <c r="C13" s="2"/>
      <c r="D13" s="5"/>
      <c r="E13" s="28">
        <v>10</v>
      </c>
      <c r="F13" s="2"/>
      <c r="G13" s="103">
        <v>0</v>
      </c>
      <c r="H13" s="2"/>
      <c r="I13" s="27">
        <f t="shared" si="0"/>
        <v>10</v>
      </c>
      <c r="J13" s="27"/>
      <c r="K13" s="5"/>
      <c r="L13" s="8">
        <v>10</v>
      </c>
      <c r="M13" s="30"/>
      <c r="N13" s="28">
        <f t="shared" si="1"/>
        <v>10</v>
      </c>
      <c r="O13" s="126"/>
      <c r="P13" s="2"/>
    </row>
    <row r="14" spans="1:16" ht="25.5">
      <c r="A14" s="75" t="s">
        <v>173</v>
      </c>
      <c r="B14" s="2"/>
      <c r="C14" s="2"/>
      <c r="D14" s="4"/>
      <c r="E14" s="85">
        <v>5</v>
      </c>
      <c r="F14" s="2"/>
      <c r="G14" s="102"/>
      <c r="H14" s="2"/>
      <c r="I14" s="27">
        <f t="shared" si="0"/>
        <v>5</v>
      </c>
      <c r="J14" s="27"/>
      <c r="K14" s="5"/>
      <c r="L14" s="8">
        <v>5</v>
      </c>
      <c r="M14" s="30"/>
      <c r="N14" s="28">
        <f t="shared" si="1"/>
        <v>5</v>
      </c>
      <c r="O14" s="126"/>
      <c r="P14" s="2"/>
    </row>
    <row r="15" spans="1:16" ht="12.75">
      <c r="A15" s="63" t="s">
        <v>52</v>
      </c>
      <c r="B15" s="63"/>
      <c r="C15" s="63"/>
      <c r="D15" s="63"/>
      <c r="E15" s="28">
        <v>27</v>
      </c>
      <c r="F15" s="2"/>
      <c r="G15" s="31">
        <f>SUM(G8:G14)</f>
        <v>0</v>
      </c>
      <c r="H15" s="2"/>
      <c r="I15" s="31">
        <f>SUM(I8:I14)</f>
        <v>27</v>
      </c>
      <c r="J15" s="31">
        <f>SUM(J8:J9)</f>
        <v>0</v>
      </c>
      <c r="K15" s="2"/>
      <c r="L15" s="31">
        <f>SUM(L8:L14)</f>
        <v>28</v>
      </c>
      <c r="M15" s="2"/>
      <c r="N15" s="31">
        <f>SUM(N8:N14)</f>
        <v>28</v>
      </c>
      <c r="O15" s="28">
        <f>SUM(O8:O14)</f>
        <v>0</v>
      </c>
      <c r="P15" s="2"/>
    </row>
  </sheetData>
  <sheetProtection/>
  <mergeCells count="12">
    <mergeCell ref="O5:O6"/>
    <mergeCell ref="F5:G6"/>
    <mergeCell ref="H5:I6"/>
    <mergeCell ref="J5:N5"/>
    <mergeCell ref="A1:P1"/>
    <mergeCell ref="A5:A7"/>
    <mergeCell ref="B5:B7"/>
    <mergeCell ref="C5:C7"/>
    <mergeCell ref="D5:E6"/>
    <mergeCell ref="P5:P7"/>
    <mergeCell ref="K6:L6"/>
    <mergeCell ref="M6:N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P33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7.57421875" style="22" customWidth="1"/>
    <col min="7" max="7" width="9.7109375" style="22" customWidth="1"/>
    <col min="8" max="8" width="12.140625" style="22" customWidth="1"/>
    <col min="9" max="9" width="10.28125" style="22" bestFit="1" customWidth="1"/>
    <col min="10" max="10" width="12.57421875" style="22" customWidth="1"/>
    <col min="11" max="11" width="9.140625" style="22" customWidth="1"/>
    <col min="12" max="12" width="11.00390625" style="22" bestFit="1" customWidth="1"/>
    <col min="13" max="13" width="7.57421875" style="22" customWidth="1"/>
    <col min="14" max="14" width="11.8515625" style="22" customWidth="1"/>
    <col min="15" max="15" width="15.7109375" style="22" hidden="1" customWidth="1"/>
    <col min="16" max="16" width="0" style="22" hidden="1" customWidth="1"/>
    <col min="17" max="16384" width="9.140625" style="22" customWidth="1"/>
  </cols>
  <sheetData>
    <row r="1" spans="1:15" ht="18.75">
      <c r="A1" s="142" t="s">
        <v>226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4" ht="6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32</v>
      </c>
    </row>
    <row r="4" ht="12.75" customHeight="1">
      <c r="O4" s="22" t="s">
        <v>123</v>
      </c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8" t="s">
        <v>228</v>
      </c>
      <c r="G5" s="138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8"/>
      <c r="G6" s="138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12">
      <c r="A7" s="139"/>
      <c r="B7" s="139"/>
      <c r="C7" s="139"/>
      <c r="D7" s="26" t="s">
        <v>0</v>
      </c>
      <c r="E7" s="26" t="s">
        <v>1</v>
      </c>
      <c r="F7" s="86" t="s">
        <v>0</v>
      </c>
      <c r="G7" s="8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25" customFormat="1" ht="25.5">
      <c r="A8" s="71" t="s">
        <v>14</v>
      </c>
      <c r="B8" s="9"/>
      <c r="C8" s="9"/>
      <c r="D8" s="101">
        <v>4</v>
      </c>
      <c r="E8" s="28">
        <v>18</v>
      </c>
      <c r="F8" s="4"/>
      <c r="G8" s="102">
        <v>5.117</v>
      </c>
      <c r="H8" s="4"/>
      <c r="I8" s="27">
        <f aca="true" t="shared" si="0" ref="I8:I32">+E8-G8</f>
        <v>12.883</v>
      </c>
      <c r="J8" s="27"/>
      <c r="K8" s="29">
        <v>4</v>
      </c>
      <c r="L8" s="13">
        <v>18</v>
      </c>
      <c r="M8" s="30">
        <f aca="true" t="shared" si="1" ref="M8:M22">+K8</f>
        <v>4</v>
      </c>
      <c r="N8" s="28">
        <f aca="true" t="shared" si="2" ref="N8:N32">+J8+L8</f>
        <v>18</v>
      </c>
      <c r="O8" s="28">
        <f>N8</f>
        <v>18</v>
      </c>
      <c r="P8" s="44"/>
    </row>
    <row r="9" spans="1:16" s="25" customFormat="1" ht="12.75">
      <c r="A9" s="71" t="s">
        <v>15</v>
      </c>
      <c r="B9" s="9"/>
      <c r="C9" s="9"/>
      <c r="D9" s="101">
        <v>1</v>
      </c>
      <c r="E9" s="28">
        <v>2</v>
      </c>
      <c r="F9" s="4"/>
      <c r="G9" s="102">
        <v>0.15476</v>
      </c>
      <c r="H9" s="4"/>
      <c r="I9" s="27">
        <f t="shared" si="0"/>
        <v>1.84524</v>
      </c>
      <c r="J9" s="27"/>
      <c r="K9" s="29">
        <v>1</v>
      </c>
      <c r="L9" s="13">
        <v>2</v>
      </c>
      <c r="M9" s="30">
        <f t="shared" si="1"/>
        <v>1</v>
      </c>
      <c r="N9" s="28">
        <f t="shared" si="2"/>
        <v>2</v>
      </c>
      <c r="O9" s="28">
        <f aca="true" t="shared" si="3" ref="O9:O32">N9</f>
        <v>2</v>
      </c>
      <c r="P9" s="44"/>
    </row>
    <row r="10" spans="1:16" s="25" customFormat="1" ht="12.75">
      <c r="A10" s="100" t="s">
        <v>190</v>
      </c>
      <c r="B10" s="9"/>
      <c r="C10" s="9"/>
      <c r="D10" s="101">
        <v>0</v>
      </c>
      <c r="E10" s="28">
        <v>80</v>
      </c>
      <c r="F10" s="4"/>
      <c r="G10" s="102">
        <v>80</v>
      </c>
      <c r="H10" s="4"/>
      <c r="I10" s="27">
        <f t="shared" si="0"/>
        <v>0</v>
      </c>
      <c r="J10" s="27"/>
      <c r="K10" s="29"/>
      <c r="L10" s="13">
        <v>100</v>
      </c>
      <c r="M10" s="30">
        <f t="shared" si="1"/>
        <v>0</v>
      </c>
      <c r="N10" s="28">
        <v>100</v>
      </c>
      <c r="O10" s="28">
        <v>70</v>
      </c>
      <c r="P10" s="44"/>
    </row>
    <row r="11" spans="1:16" s="25" customFormat="1" ht="12.75">
      <c r="A11" s="100" t="s">
        <v>191</v>
      </c>
      <c r="B11" s="9"/>
      <c r="C11" s="9"/>
      <c r="D11" s="101">
        <v>1</v>
      </c>
      <c r="E11" s="28">
        <v>30</v>
      </c>
      <c r="F11" s="4"/>
      <c r="G11" s="102">
        <v>12.52896</v>
      </c>
      <c r="H11" s="4"/>
      <c r="I11" s="27">
        <f t="shared" si="0"/>
        <v>17.471040000000002</v>
      </c>
      <c r="J11" s="27"/>
      <c r="K11" s="29">
        <v>1</v>
      </c>
      <c r="L11" s="13">
        <v>50</v>
      </c>
      <c r="M11" s="30">
        <f t="shared" si="1"/>
        <v>1</v>
      </c>
      <c r="N11" s="28">
        <f t="shared" si="2"/>
        <v>50</v>
      </c>
      <c r="O11" s="28">
        <v>25</v>
      </c>
      <c r="P11" s="44"/>
    </row>
    <row r="12" spans="1:16" s="25" customFormat="1" ht="38.25">
      <c r="A12" s="100" t="s">
        <v>189</v>
      </c>
      <c r="B12" s="9"/>
      <c r="C12" s="9"/>
      <c r="D12" s="101">
        <v>1</v>
      </c>
      <c r="E12" s="28">
        <v>40</v>
      </c>
      <c r="F12" s="4"/>
      <c r="G12" s="102">
        <v>7.7544</v>
      </c>
      <c r="H12" s="4"/>
      <c r="I12" s="27">
        <f t="shared" si="0"/>
        <v>32.245599999999996</v>
      </c>
      <c r="J12" s="27"/>
      <c r="K12" s="29">
        <v>1</v>
      </c>
      <c r="L12" s="13">
        <v>40</v>
      </c>
      <c r="M12" s="30">
        <f t="shared" si="1"/>
        <v>1</v>
      </c>
      <c r="N12" s="28">
        <f t="shared" si="2"/>
        <v>40</v>
      </c>
      <c r="O12" s="28">
        <v>25</v>
      </c>
      <c r="P12" s="44"/>
    </row>
    <row r="13" spans="1:16" s="25" customFormat="1" ht="25.5">
      <c r="A13" s="71" t="s">
        <v>16</v>
      </c>
      <c r="B13" s="9"/>
      <c r="C13" s="9"/>
      <c r="D13" s="101">
        <v>1</v>
      </c>
      <c r="E13" s="28">
        <v>5</v>
      </c>
      <c r="F13" s="4"/>
      <c r="G13" s="102">
        <v>5</v>
      </c>
      <c r="H13" s="4"/>
      <c r="I13" s="27">
        <f t="shared" si="0"/>
        <v>0</v>
      </c>
      <c r="J13" s="27"/>
      <c r="K13" s="29">
        <v>1</v>
      </c>
      <c r="L13" s="13">
        <v>5</v>
      </c>
      <c r="M13" s="30">
        <f t="shared" si="1"/>
        <v>1</v>
      </c>
      <c r="N13" s="28">
        <f t="shared" si="2"/>
        <v>5</v>
      </c>
      <c r="O13" s="28">
        <f t="shared" si="3"/>
        <v>5</v>
      </c>
      <c r="P13" s="44"/>
    </row>
    <row r="14" spans="1:16" s="25" customFormat="1" ht="12.75">
      <c r="A14" s="71" t="s">
        <v>17</v>
      </c>
      <c r="B14" s="9"/>
      <c r="C14" s="9"/>
      <c r="D14" s="101">
        <v>1</v>
      </c>
      <c r="E14" s="28">
        <v>10</v>
      </c>
      <c r="F14" s="4"/>
      <c r="G14" s="102">
        <v>6.00451</v>
      </c>
      <c r="H14" s="4"/>
      <c r="I14" s="27">
        <f t="shared" si="0"/>
        <v>3.99549</v>
      </c>
      <c r="J14" s="27"/>
      <c r="K14" s="29">
        <v>1</v>
      </c>
      <c r="L14" s="13">
        <v>10</v>
      </c>
      <c r="M14" s="30">
        <f t="shared" si="1"/>
        <v>1</v>
      </c>
      <c r="N14" s="28">
        <f t="shared" si="2"/>
        <v>10</v>
      </c>
      <c r="O14" s="28">
        <f t="shared" si="3"/>
        <v>10</v>
      </c>
      <c r="P14" s="44"/>
    </row>
    <row r="15" spans="1:16" s="25" customFormat="1" ht="25.5">
      <c r="A15" s="71" t="s">
        <v>157</v>
      </c>
      <c r="B15" s="9"/>
      <c r="C15" s="9"/>
      <c r="D15" s="101">
        <v>1</v>
      </c>
      <c r="E15" s="28">
        <v>2</v>
      </c>
      <c r="F15" s="4"/>
      <c r="G15" s="102">
        <v>0</v>
      </c>
      <c r="H15" s="4"/>
      <c r="I15" s="27">
        <f t="shared" si="0"/>
        <v>2</v>
      </c>
      <c r="J15" s="27"/>
      <c r="K15" s="29">
        <v>1</v>
      </c>
      <c r="L15" s="13">
        <v>2</v>
      </c>
      <c r="M15" s="30">
        <f t="shared" si="1"/>
        <v>1</v>
      </c>
      <c r="N15" s="28">
        <f t="shared" si="2"/>
        <v>2</v>
      </c>
      <c r="O15" s="28">
        <f t="shared" si="3"/>
        <v>2</v>
      </c>
      <c r="P15" s="44"/>
    </row>
    <row r="16" spans="1:16" s="25" customFormat="1" ht="25.5">
      <c r="A16" s="71" t="s">
        <v>158</v>
      </c>
      <c r="B16" s="9"/>
      <c r="C16" s="9"/>
      <c r="D16" s="101">
        <v>1</v>
      </c>
      <c r="E16" s="28">
        <v>3</v>
      </c>
      <c r="F16" s="4"/>
      <c r="G16" s="102">
        <v>0</v>
      </c>
      <c r="H16" s="4"/>
      <c r="I16" s="27">
        <f t="shared" si="0"/>
        <v>3</v>
      </c>
      <c r="J16" s="27"/>
      <c r="K16" s="29">
        <v>1</v>
      </c>
      <c r="L16" s="13">
        <v>3</v>
      </c>
      <c r="M16" s="30">
        <f t="shared" si="1"/>
        <v>1</v>
      </c>
      <c r="N16" s="28">
        <f t="shared" si="2"/>
        <v>3</v>
      </c>
      <c r="O16" s="28">
        <f t="shared" si="3"/>
        <v>3</v>
      </c>
      <c r="P16" s="44"/>
    </row>
    <row r="17" spans="1:16" s="25" customFormat="1" ht="25.5">
      <c r="A17" s="71" t="s">
        <v>18</v>
      </c>
      <c r="B17" s="9"/>
      <c r="C17" s="9"/>
      <c r="D17" s="101">
        <v>1</v>
      </c>
      <c r="E17" s="28">
        <v>8</v>
      </c>
      <c r="F17" s="4"/>
      <c r="G17" s="102">
        <v>0</v>
      </c>
      <c r="H17" s="4"/>
      <c r="I17" s="27">
        <f t="shared" si="0"/>
        <v>8</v>
      </c>
      <c r="J17" s="27"/>
      <c r="K17" s="29">
        <v>1</v>
      </c>
      <c r="L17" s="13">
        <v>50</v>
      </c>
      <c r="M17" s="30">
        <f t="shared" si="1"/>
        <v>1</v>
      </c>
      <c r="N17" s="28">
        <f t="shared" si="2"/>
        <v>50</v>
      </c>
      <c r="O17" s="28">
        <v>8</v>
      </c>
      <c r="P17" s="44"/>
    </row>
    <row r="18" spans="1:16" s="25" customFormat="1" ht="12.75">
      <c r="A18" s="71" t="s">
        <v>19</v>
      </c>
      <c r="B18" s="9"/>
      <c r="C18" s="9"/>
      <c r="D18" s="101">
        <v>1</v>
      </c>
      <c r="E18" s="28">
        <v>2</v>
      </c>
      <c r="F18" s="4"/>
      <c r="G18" s="102">
        <v>0</v>
      </c>
      <c r="H18" s="4"/>
      <c r="I18" s="27">
        <f t="shared" si="0"/>
        <v>2</v>
      </c>
      <c r="J18" s="27"/>
      <c r="K18" s="29">
        <v>1</v>
      </c>
      <c r="L18" s="13">
        <v>2</v>
      </c>
      <c r="M18" s="30">
        <f t="shared" si="1"/>
        <v>1</v>
      </c>
      <c r="N18" s="28">
        <f t="shared" si="2"/>
        <v>2</v>
      </c>
      <c r="O18" s="28">
        <f t="shared" si="3"/>
        <v>2</v>
      </c>
      <c r="P18" s="44"/>
    </row>
    <row r="19" spans="1:16" s="25" customFormat="1" ht="12.75">
      <c r="A19" s="71" t="s">
        <v>20</v>
      </c>
      <c r="B19" s="9"/>
      <c r="C19" s="9"/>
      <c r="D19" s="101">
        <v>1</v>
      </c>
      <c r="E19" s="28">
        <v>4</v>
      </c>
      <c r="F19" s="4"/>
      <c r="G19" s="102">
        <v>0</v>
      </c>
      <c r="H19" s="4"/>
      <c r="I19" s="27">
        <f t="shared" si="0"/>
        <v>4</v>
      </c>
      <c r="J19" s="27"/>
      <c r="K19" s="29">
        <v>1</v>
      </c>
      <c r="L19" s="13">
        <v>4</v>
      </c>
      <c r="M19" s="30">
        <f t="shared" si="1"/>
        <v>1</v>
      </c>
      <c r="N19" s="28">
        <f t="shared" si="2"/>
        <v>4</v>
      </c>
      <c r="O19" s="28">
        <f t="shared" si="3"/>
        <v>4</v>
      </c>
      <c r="P19" s="44"/>
    </row>
    <row r="20" spans="1:16" s="25" customFormat="1" ht="12.75">
      <c r="A20" s="71" t="s">
        <v>21</v>
      </c>
      <c r="B20" s="9"/>
      <c r="C20" s="9"/>
      <c r="D20" s="66">
        <v>1</v>
      </c>
      <c r="E20" s="13">
        <v>2</v>
      </c>
      <c r="F20" s="4"/>
      <c r="G20" s="102">
        <v>0</v>
      </c>
      <c r="H20" s="4"/>
      <c r="I20" s="27">
        <f t="shared" si="0"/>
        <v>2</v>
      </c>
      <c r="J20" s="27"/>
      <c r="K20" s="29">
        <v>1</v>
      </c>
      <c r="L20" s="13">
        <v>2</v>
      </c>
      <c r="M20" s="30">
        <f t="shared" si="1"/>
        <v>1</v>
      </c>
      <c r="N20" s="28">
        <f t="shared" si="2"/>
        <v>2</v>
      </c>
      <c r="O20" s="28">
        <f t="shared" si="3"/>
        <v>2</v>
      </c>
      <c r="P20" s="44"/>
    </row>
    <row r="21" spans="1:16" s="25" customFormat="1" ht="28.5" customHeight="1">
      <c r="A21" s="71" t="s">
        <v>86</v>
      </c>
      <c r="B21" s="9"/>
      <c r="C21" s="9"/>
      <c r="D21" s="66">
        <v>1</v>
      </c>
      <c r="E21" s="13">
        <v>8</v>
      </c>
      <c r="F21" s="4"/>
      <c r="G21" s="102">
        <v>8</v>
      </c>
      <c r="H21" s="4"/>
      <c r="I21" s="27">
        <f t="shared" si="0"/>
        <v>0</v>
      </c>
      <c r="J21" s="27"/>
      <c r="K21" s="29">
        <v>1</v>
      </c>
      <c r="L21" s="13">
        <v>8</v>
      </c>
      <c r="M21" s="30">
        <f t="shared" si="1"/>
        <v>1</v>
      </c>
      <c r="N21" s="28">
        <f t="shared" si="2"/>
        <v>8</v>
      </c>
      <c r="O21" s="28">
        <f t="shared" si="3"/>
        <v>8</v>
      </c>
      <c r="P21" s="44"/>
    </row>
    <row r="22" spans="1:16" s="25" customFormat="1" ht="12.75">
      <c r="A22" s="71" t="s">
        <v>22</v>
      </c>
      <c r="B22" s="9"/>
      <c r="C22" s="9"/>
      <c r="D22" s="66">
        <v>1</v>
      </c>
      <c r="E22" s="13">
        <v>1</v>
      </c>
      <c r="F22" s="4"/>
      <c r="G22" s="102">
        <v>0</v>
      </c>
      <c r="H22" s="4"/>
      <c r="I22" s="27">
        <f t="shared" si="0"/>
        <v>1</v>
      </c>
      <c r="J22" s="27"/>
      <c r="K22" s="29">
        <v>1</v>
      </c>
      <c r="L22" s="13">
        <v>1</v>
      </c>
      <c r="M22" s="30">
        <f t="shared" si="1"/>
        <v>1</v>
      </c>
      <c r="N22" s="28">
        <f t="shared" si="2"/>
        <v>1</v>
      </c>
      <c r="O22" s="28">
        <f t="shared" si="3"/>
        <v>1</v>
      </c>
      <c r="P22" s="44"/>
    </row>
    <row r="23" spans="1:16" s="34" customFormat="1" ht="12.75">
      <c r="A23" s="71" t="s">
        <v>23</v>
      </c>
      <c r="B23" s="33"/>
      <c r="C23" s="33"/>
      <c r="D23" s="66">
        <v>1</v>
      </c>
      <c r="E23" s="13">
        <v>3</v>
      </c>
      <c r="F23" s="4"/>
      <c r="G23" s="102">
        <v>0</v>
      </c>
      <c r="H23" s="4"/>
      <c r="I23" s="27">
        <f t="shared" si="0"/>
        <v>3</v>
      </c>
      <c r="J23" s="27"/>
      <c r="K23" s="29">
        <v>1</v>
      </c>
      <c r="L23" s="13">
        <v>3</v>
      </c>
      <c r="M23" s="30">
        <f aca="true" t="shared" si="4" ref="M23:M32">+K23</f>
        <v>1</v>
      </c>
      <c r="N23" s="28">
        <f t="shared" si="2"/>
        <v>3</v>
      </c>
      <c r="O23" s="28">
        <f t="shared" si="3"/>
        <v>3</v>
      </c>
      <c r="P23" s="33"/>
    </row>
    <row r="24" spans="1:16" s="34" customFormat="1" ht="25.5">
      <c r="A24" s="71" t="s">
        <v>24</v>
      </c>
      <c r="B24" s="35"/>
      <c r="C24" s="35"/>
      <c r="D24" s="66">
        <v>1</v>
      </c>
      <c r="E24" s="13">
        <v>2</v>
      </c>
      <c r="F24" s="35"/>
      <c r="G24" s="102">
        <v>0</v>
      </c>
      <c r="H24" s="35"/>
      <c r="I24" s="27">
        <f t="shared" si="0"/>
        <v>2</v>
      </c>
      <c r="J24" s="27"/>
      <c r="K24" s="29">
        <v>1</v>
      </c>
      <c r="L24" s="13">
        <v>2</v>
      </c>
      <c r="M24" s="30">
        <f t="shared" si="4"/>
        <v>1</v>
      </c>
      <c r="N24" s="28">
        <f t="shared" si="2"/>
        <v>2</v>
      </c>
      <c r="O24" s="28">
        <f t="shared" si="3"/>
        <v>2</v>
      </c>
      <c r="P24" s="33"/>
    </row>
    <row r="25" spans="1:16" ht="12.75">
      <c r="A25" s="71" t="s">
        <v>25</v>
      </c>
      <c r="B25" s="2"/>
      <c r="C25" s="2"/>
      <c r="D25" s="66">
        <v>1</v>
      </c>
      <c r="E25" s="13">
        <v>5</v>
      </c>
      <c r="F25" s="2"/>
      <c r="G25" s="102">
        <v>1.66856</v>
      </c>
      <c r="H25" s="2"/>
      <c r="I25" s="27">
        <f t="shared" si="0"/>
        <v>3.3314399999999997</v>
      </c>
      <c r="J25" s="27"/>
      <c r="K25" s="29">
        <v>1</v>
      </c>
      <c r="L25" s="13">
        <v>10</v>
      </c>
      <c r="M25" s="30">
        <f t="shared" si="4"/>
        <v>1</v>
      </c>
      <c r="N25" s="28">
        <f t="shared" si="2"/>
        <v>10</v>
      </c>
      <c r="O25" s="28">
        <f t="shared" si="3"/>
        <v>10</v>
      </c>
      <c r="P25" s="2"/>
    </row>
    <row r="26" spans="1:16" ht="25.5">
      <c r="A26" s="71" t="s">
        <v>159</v>
      </c>
      <c r="B26" s="2"/>
      <c r="C26" s="2"/>
      <c r="D26" s="66">
        <v>1</v>
      </c>
      <c r="E26" s="13">
        <v>3</v>
      </c>
      <c r="F26" s="2"/>
      <c r="G26" s="102">
        <v>0</v>
      </c>
      <c r="H26" s="2"/>
      <c r="I26" s="27">
        <f t="shared" si="0"/>
        <v>3</v>
      </c>
      <c r="J26" s="27"/>
      <c r="K26" s="29">
        <v>1</v>
      </c>
      <c r="L26" s="13">
        <v>3</v>
      </c>
      <c r="M26" s="30">
        <f t="shared" si="4"/>
        <v>1</v>
      </c>
      <c r="N26" s="28">
        <f t="shared" si="2"/>
        <v>3</v>
      </c>
      <c r="O26" s="28">
        <f t="shared" si="3"/>
        <v>3</v>
      </c>
      <c r="P26" s="2"/>
    </row>
    <row r="27" spans="1:16" ht="38.25">
      <c r="A27" s="71" t="s">
        <v>156</v>
      </c>
      <c r="B27" s="2"/>
      <c r="C27" s="2"/>
      <c r="D27" s="66">
        <v>1</v>
      </c>
      <c r="E27" s="13">
        <v>20</v>
      </c>
      <c r="F27" s="2"/>
      <c r="G27" s="102">
        <v>13.71855</v>
      </c>
      <c r="H27" s="2"/>
      <c r="I27" s="27">
        <f t="shared" si="0"/>
        <v>6.2814499999999995</v>
      </c>
      <c r="J27" s="27"/>
      <c r="K27" s="29">
        <v>1</v>
      </c>
      <c r="L27" s="13">
        <v>20</v>
      </c>
      <c r="M27" s="30">
        <f t="shared" si="4"/>
        <v>1</v>
      </c>
      <c r="N27" s="28">
        <f t="shared" si="2"/>
        <v>20</v>
      </c>
      <c r="O27" s="28">
        <f t="shared" si="3"/>
        <v>20</v>
      </c>
      <c r="P27" s="2"/>
    </row>
    <row r="28" spans="1:16" ht="25.5">
      <c r="A28" s="100" t="s">
        <v>186</v>
      </c>
      <c r="B28" s="2"/>
      <c r="C28" s="2"/>
      <c r="D28" s="66">
        <v>1</v>
      </c>
      <c r="E28" s="13">
        <v>10</v>
      </c>
      <c r="F28" s="2"/>
      <c r="G28" s="102">
        <v>5</v>
      </c>
      <c r="H28" s="2"/>
      <c r="I28" s="27">
        <f t="shared" si="0"/>
        <v>5</v>
      </c>
      <c r="J28" s="27"/>
      <c r="K28" s="29">
        <v>1</v>
      </c>
      <c r="L28" s="61">
        <v>10</v>
      </c>
      <c r="M28" s="30">
        <f t="shared" si="4"/>
        <v>1</v>
      </c>
      <c r="N28" s="28">
        <f t="shared" si="2"/>
        <v>10</v>
      </c>
      <c r="O28" s="28">
        <f t="shared" si="3"/>
        <v>10</v>
      </c>
      <c r="P28" s="2"/>
    </row>
    <row r="29" spans="1:16" ht="25.5">
      <c r="A29" s="100" t="s">
        <v>187</v>
      </c>
      <c r="B29" s="2"/>
      <c r="C29" s="2"/>
      <c r="D29" s="66">
        <v>1</v>
      </c>
      <c r="E29" s="13">
        <v>5</v>
      </c>
      <c r="F29" s="2"/>
      <c r="G29" s="102">
        <v>4</v>
      </c>
      <c r="H29" s="2"/>
      <c r="I29" s="27">
        <f t="shared" si="0"/>
        <v>1</v>
      </c>
      <c r="J29" s="27"/>
      <c r="K29" s="29">
        <v>1</v>
      </c>
      <c r="L29" s="61">
        <v>5</v>
      </c>
      <c r="M29" s="30">
        <f t="shared" si="4"/>
        <v>1</v>
      </c>
      <c r="N29" s="28">
        <f t="shared" si="2"/>
        <v>5</v>
      </c>
      <c r="O29" s="28">
        <f t="shared" si="3"/>
        <v>5</v>
      </c>
      <c r="P29" s="2"/>
    </row>
    <row r="30" spans="1:16" ht="25.5">
      <c r="A30" s="100" t="s">
        <v>188</v>
      </c>
      <c r="B30" s="2"/>
      <c r="C30" s="2"/>
      <c r="D30" s="66">
        <v>1</v>
      </c>
      <c r="E30" s="13">
        <v>10</v>
      </c>
      <c r="F30" s="2"/>
      <c r="G30" s="102">
        <v>1.403</v>
      </c>
      <c r="H30" s="2"/>
      <c r="I30" s="27">
        <f t="shared" si="0"/>
        <v>8.597</v>
      </c>
      <c r="J30" s="27"/>
      <c r="K30" s="29">
        <v>1</v>
      </c>
      <c r="L30" s="61">
        <v>10</v>
      </c>
      <c r="M30" s="30">
        <f t="shared" si="4"/>
        <v>1</v>
      </c>
      <c r="N30" s="28">
        <f t="shared" si="2"/>
        <v>10</v>
      </c>
      <c r="O30" s="28">
        <f t="shared" si="3"/>
        <v>10</v>
      </c>
      <c r="P30" s="2"/>
    </row>
    <row r="31" spans="1:16" ht="51">
      <c r="A31" s="100" t="s">
        <v>221</v>
      </c>
      <c r="B31" s="2"/>
      <c r="C31" s="2"/>
      <c r="D31" s="66">
        <v>1</v>
      </c>
      <c r="E31" s="13">
        <v>10</v>
      </c>
      <c r="F31" s="2"/>
      <c r="G31" s="102">
        <v>5</v>
      </c>
      <c r="H31" s="2"/>
      <c r="I31" s="27">
        <f t="shared" si="0"/>
        <v>5</v>
      </c>
      <c r="J31" s="27"/>
      <c r="K31" s="29">
        <v>1</v>
      </c>
      <c r="L31" s="61">
        <v>10</v>
      </c>
      <c r="M31" s="30">
        <f t="shared" si="4"/>
        <v>1</v>
      </c>
      <c r="N31" s="28">
        <f t="shared" si="2"/>
        <v>10</v>
      </c>
      <c r="O31" s="28">
        <f t="shared" si="3"/>
        <v>10</v>
      </c>
      <c r="P31" s="2"/>
    </row>
    <row r="32" spans="1:16" ht="12.75">
      <c r="A32" s="69" t="s">
        <v>87</v>
      </c>
      <c r="B32" s="2"/>
      <c r="C32" s="2"/>
      <c r="D32" s="66">
        <v>1</v>
      </c>
      <c r="E32" s="13">
        <v>1</v>
      </c>
      <c r="F32" s="2"/>
      <c r="G32" s="106">
        <v>0</v>
      </c>
      <c r="H32" s="2"/>
      <c r="I32" s="27">
        <f t="shared" si="0"/>
        <v>1</v>
      </c>
      <c r="J32" s="27"/>
      <c r="K32" s="29">
        <v>1</v>
      </c>
      <c r="L32" s="13">
        <v>1</v>
      </c>
      <c r="M32" s="30">
        <f t="shared" si="4"/>
        <v>1</v>
      </c>
      <c r="N32" s="28">
        <f t="shared" si="2"/>
        <v>1</v>
      </c>
      <c r="O32" s="28">
        <f t="shared" si="3"/>
        <v>1</v>
      </c>
      <c r="P32" s="2"/>
    </row>
    <row r="33" spans="1:16" ht="12.75">
      <c r="A33" s="63" t="s">
        <v>52</v>
      </c>
      <c r="B33" s="63"/>
      <c r="C33" s="63"/>
      <c r="D33" s="63"/>
      <c r="E33" s="31">
        <f>SUM(E8:E32)</f>
        <v>284</v>
      </c>
      <c r="F33" s="2"/>
      <c r="G33" s="31">
        <f>SUM(G8:G32)</f>
        <v>155.34974</v>
      </c>
      <c r="H33" s="2"/>
      <c r="I33" s="31">
        <f>SUM(I8:I32)</f>
        <v>128.65026</v>
      </c>
      <c r="J33" s="31">
        <f>SUM(J8:J32)</f>
        <v>0</v>
      </c>
      <c r="K33" s="2"/>
      <c r="L33" s="31">
        <f>SUM(L8:L32)</f>
        <v>371</v>
      </c>
      <c r="M33" s="2"/>
      <c r="N33" s="31">
        <f>SUM(N8:N32)</f>
        <v>371</v>
      </c>
      <c r="O33" s="31">
        <f>SUM(O8:O32)</f>
        <v>259</v>
      </c>
      <c r="P33" s="2"/>
    </row>
  </sheetData>
  <sheetProtection/>
  <mergeCells count="12">
    <mergeCell ref="F5:G6"/>
    <mergeCell ref="H5:I6"/>
    <mergeCell ref="J5:N5"/>
    <mergeCell ref="O5:O6"/>
    <mergeCell ref="K6:L6"/>
    <mergeCell ref="M6:N6"/>
    <mergeCell ref="A1:O1"/>
    <mergeCell ref="P5:P7"/>
    <mergeCell ref="A5:A7"/>
    <mergeCell ref="B5:B7"/>
    <mergeCell ref="C5:C7"/>
    <mergeCell ref="D5:E6"/>
  </mergeCells>
  <printOptions horizontalCentered="1"/>
  <pageMargins left="0.38" right="0.25" top="0.62" bottom="0.65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5"/>
  <sheetViews>
    <sheetView zoomScale="75" zoomScaleNormal="75" zoomScalePageLayoutView="0" workbookViewId="0" topLeftCell="A4">
      <selection activeCell="R25" sqref="R25"/>
    </sheetView>
  </sheetViews>
  <sheetFormatPr defaultColWidth="9.140625" defaultRowHeight="12.75"/>
  <cols>
    <col min="1" max="1" width="37.28125" style="22" customWidth="1"/>
    <col min="2" max="2" width="9.7109375" style="22" hidden="1" customWidth="1"/>
    <col min="3" max="3" width="7.00390625" style="22" hidden="1" customWidth="1"/>
    <col min="4" max="4" width="9.28125" style="22" customWidth="1"/>
    <col min="5" max="5" width="12.28125" style="22" customWidth="1"/>
    <col min="6" max="6" width="6.28125" style="22" customWidth="1"/>
    <col min="7" max="7" width="11.140625" style="22" customWidth="1"/>
    <col min="8" max="8" width="6.7109375" style="22" customWidth="1"/>
    <col min="9" max="9" width="12.8515625" style="22" customWidth="1"/>
    <col min="10" max="10" width="12.00390625" style="22" bestFit="1" customWidth="1"/>
    <col min="11" max="11" width="10.421875" style="22" bestFit="1" customWidth="1"/>
    <col min="12" max="12" width="12.8515625" style="22" customWidth="1"/>
    <col min="13" max="13" width="7.00390625" style="22" customWidth="1"/>
    <col min="14" max="14" width="12.7109375" style="22" bestFit="1" customWidth="1"/>
    <col min="15" max="15" width="16.140625" style="22" hidden="1" customWidth="1"/>
    <col min="16" max="16" width="0" style="22" hidden="1" customWidth="1"/>
    <col min="17" max="16384" width="9.140625" style="22" customWidth="1"/>
  </cols>
  <sheetData>
    <row r="1" spans="1:16" ht="18.75">
      <c r="A1" s="142" t="s">
        <v>226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26</v>
      </c>
      <c r="B3" s="24"/>
      <c r="C3" s="24"/>
      <c r="D3" s="24"/>
      <c r="E3" s="24"/>
      <c r="F3" s="17" t="s">
        <v>33</v>
      </c>
    </row>
    <row r="4" ht="12.75">
      <c r="O4" s="22" t="s">
        <v>123</v>
      </c>
    </row>
    <row r="5" spans="1:16" s="25" customFormat="1" ht="13.5" customHeight="1">
      <c r="A5" s="139" t="s">
        <v>2</v>
      </c>
      <c r="B5" s="139" t="s">
        <v>27</v>
      </c>
      <c r="C5" s="139" t="s">
        <v>9</v>
      </c>
      <c r="D5" s="139" t="s">
        <v>227</v>
      </c>
      <c r="E5" s="139"/>
      <c r="F5" s="138" t="s">
        <v>228</v>
      </c>
      <c r="G5" s="138"/>
      <c r="H5" s="139" t="s">
        <v>28</v>
      </c>
      <c r="I5" s="139"/>
      <c r="J5" s="139" t="s">
        <v>3</v>
      </c>
      <c r="K5" s="139"/>
      <c r="L5" s="139"/>
      <c r="M5" s="139"/>
      <c r="N5" s="139"/>
      <c r="O5" s="140" t="s">
        <v>110</v>
      </c>
      <c r="P5" s="140" t="s">
        <v>122</v>
      </c>
    </row>
    <row r="6" spans="1:16" s="25" customFormat="1" ht="33" customHeight="1">
      <c r="A6" s="139"/>
      <c r="B6" s="139"/>
      <c r="C6" s="139"/>
      <c r="D6" s="139"/>
      <c r="E6" s="139"/>
      <c r="F6" s="138"/>
      <c r="G6" s="138"/>
      <c r="H6" s="139"/>
      <c r="I6" s="139"/>
      <c r="J6" s="9" t="s">
        <v>229</v>
      </c>
      <c r="K6" s="139" t="s">
        <v>230</v>
      </c>
      <c r="L6" s="139"/>
      <c r="M6" s="139" t="s">
        <v>231</v>
      </c>
      <c r="N6" s="139"/>
      <c r="O6" s="140"/>
      <c r="P6" s="140"/>
    </row>
    <row r="7" spans="1:16" s="25" customFormat="1" ht="20.25" customHeight="1">
      <c r="A7" s="139"/>
      <c r="B7" s="139"/>
      <c r="C7" s="139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40"/>
    </row>
    <row r="8" spans="1:16" s="25" customFormat="1" ht="25.5">
      <c r="A8" s="1" t="s">
        <v>34</v>
      </c>
      <c r="B8" s="9"/>
      <c r="C8" s="9"/>
      <c r="D8" s="29">
        <v>0</v>
      </c>
      <c r="E8" s="74">
        <v>10</v>
      </c>
      <c r="F8" s="4"/>
      <c r="G8" s="103">
        <v>2</v>
      </c>
      <c r="H8" s="4"/>
      <c r="I8" s="27">
        <f aca="true" t="shared" si="0" ref="I8:I24">+E8-G8</f>
        <v>8</v>
      </c>
      <c r="J8" s="27"/>
      <c r="K8" s="29"/>
      <c r="L8" s="11">
        <v>10</v>
      </c>
      <c r="M8" s="30">
        <f aca="true" t="shared" si="1" ref="M8:M20">+K8</f>
        <v>0</v>
      </c>
      <c r="N8" s="28">
        <f aca="true" t="shared" si="2" ref="N8:N24">+J8+L8</f>
        <v>10</v>
      </c>
      <c r="O8" s="28">
        <f>N8</f>
        <v>10</v>
      </c>
      <c r="P8" s="44"/>
    </row>
    <row r="9" spans="1:16" s="25" customFormat="1" ht="12.75">
      <c r="A9" s="1" t="s">
        <v>35</v>
      </c>
      <c r="B9" s="9"/>
      <c r="C9" s="9"/>
      <c r="D9" s="29">
        <v>0</v>
      </c>
      <c r="E9" s="74">
        <v>10</v>
      </c>
      <c r="F9" s="4"/>
      <c r="G9" s="103">
        <f>5.65214</f>
        <v>5.65214</v>
      </c>
      <c r="H9" s="4"/>
      <c r="I9" s="27">
        <f t="shared" si="0"/>
        <v>4.34786</v>
      </c>
      <c r="J9" s="27"/>
      <c r="K9" s="29"/>
      <c r="L9" s="11">
        <v>10</v>
      </c>
      <c r="M9" s="30">
        <f t="shared" si="1"/>
        <v>0</v>
      </c>
      <c r="N9" s="28">
        <f t="shared" si="2"/>
        <v>10</v>
      </c>
      <c r="O9" s="28">
        <f aca="true" t="shared" si="3" ref="O9:O22">N9</f>
        <v>10</v>
      </c>
      <c r="P9" s="44"/>
    </row>
    <row r="10" spans="1:16" s="25" customFormat="1" ht="38.25">
      <c r="A10" s="1" t="s">
        <v>114</v>
      </c>
      <c r="B10" s="9"/>
      <c r="C10" s="9"/>
      <c r="D10" s="29">
        <v>0</v>
      </c>
      <c r="E10" s="74">
        <v>2</v>
      </c>
      <c r="F10" s="4"/>
      <c r="G10" s="103">
        <v>0</v>
      </c>
      <c r="H10" s="4"/>
      <c r="I10" s="27">
        <f t="shared" si="0"/>
        <v>2</v>
      </c>
      <c r="J10" s="27"/>
      <c r="K10" s="29"/>
      <c r="L10" s="11">
        <v>2</v>
      </c>
      <c r="M10" s="30">
        <f t="shared" si="1"/>
        <v>0</v>
      </c>
      <c r="N10" s="28">
        <f t="shared" si="2"/>
        <v>2</v>
      </c>
      <c r="O10" s="28">
        <f t="shared" si="3"/>
        <v>2</v>
      </c>
      <c r="P10" s="44"/>
    </row>
    <row r="11" spans="1:16" s="25" customFormat="1" ht="25.5">
      <c r="A11" s="1" t="s">
        <v>145</v>
      </c>
      <c r="B11" s="9"/>
      <c r="C11" s="9"/>
      <c r="D11" s="29"/>
      <c r="E11" s="74">
        <v>30</v>
      </c>
      <c r="F11" s="4"/>
      <c r="G11" s="103">
        <v>25</v>
      </c>
      <c r="H11" s="4"/>
      <c r="I11" s="27">
        <f t="shared" si="0"/>
        <v>5</v>
      </c>
      <c r="J11" s="27"/>
      <c r="K11" s="29"/>
      <c r="L11" s="11">
        <v>30</v>
      </c>
      <c r="M11" s="30"/>
      <c r="N11" s="28">
        <f>+J11+L11</f>
        <v>30</v>
      </c>
      <c r="O11" s="126">
        <f>30-20</f>
        <v>10</v>
      </c>
      <c r="P11" s="44"/>
    </row>
    <row r="12" spans="1:16" s="25" customFormat="1" ht="25.5">
      <c r="A12" s="1" t="s">
        <v>146</v>
      </c>
      <c r="B12" s="9"/>
      <c r="C12" s="9"/>
      <c r="D12" s="29"/>
      <c r="E12" s="74">
        <v>5</v>
      </c>
      <c r="F12" s="4"/>
      <c r="G12" s="103">
        <v>5</v>
      </c>
      <c r="H12" s="4"/>
      <c r="I12" s="27">
        <f t="shared" si="0"/>
        <v>0</v>
      </c>
      <c r="J12" s="27"/>
      <c r="K12" s="29"/>
      <c r="L12" s="11">
        <v>5</v>
      </c>
      <c r="M12" s="30"/>
      <c r="N12" s="28">
        <f>+J12+L12</f>
        <v>5</v>
      </c>
      <c r="O12" s="28">
        <f t="shared" si="3"/>
        <v>5</v>
      </c>
      <c r="P12" s="44"/>
    </row>
    <row r="13" spans="1:16" s="25" customFormat="1" ht="38.25">
      <c r="A13" s="75" t="s">
        <v>185</v>
      </c>
      <c r="B13" s="9"/>
      <c r="C13" s="9"/>
      <c r="D13" s="29">
        <v>0</v>
      </c>
      <c r="E13" s="74">
        <v>25</v>
      </c>
      <c r="F13" s="4"/>
      <c r="G13" s="103">
        <v>0</v>
      </c>
      <c r="H13" s="4"/>
      <c r="I13" s="27">
        <f t="shared" si="0"/>
        <v>25</v>
      </c>
      <c r="J13" s="27"/>
      <c r="K13" s="29"/>
      <c r="L13" s="11">
        <v>25</v>
      </c>
      <c r="M13" s="30">
        <f t="shared" si="1"/>
        <v>0</v>
      </c>
      <c r="N13" s="28">
        <f t="shared" si="2"/>
        <v>25</v>
      </c>
      <c r="O13" s="126">
        <f>N13-3.2</f>
        <v>21.8</v>
      </c>
      <c r="P13" s="44"/>
    </row>
    <row r="14" spans="1:16" s="25" customFormat="1" ht="43.5" customHeight="1">
      <c r="A14" s="1" t="s">
        <v>36</v>
      </c>
      <c r="B14" s="9"/>
      <c r="C14" s="9"/>
      <c r="D14" s="29">
        <v>0</v>
      </c>
      <c r="E14" s="74">
        <v>2</v>
      </c>
      <c r="F14" s="4"/>
      <c r="G14" s="103"/>
      <c r="H14" s="4"/>
      <c r="I14" s="27">
        <f t="shared" si="0"/>
        <v>2</v>
      </c>
      <c r="J14" s="27"/>
      <c r="K14" s="29"/>
      <c r="L14" s="11">
        <v>2</v>
      </c>
      <c r="M14" s="30">
        <f t="shared" si="1"/>
        <v>0</v>
      </c>
      <c r="N14" s="28">
        <f t="shared" si="2"/>
        <v>2</v>
      </c>
      <c r="O14" s="28">
        <f t="shared" si="3"/>
        <v>2</v>
      </c>
      <c r="P14" s="44"/>
    </row>
    <row r="15" spans="1:16" s="25" customFormat="1" ht="25.5">
      <c r="A15" s="1" t="s">
        <v>162</v>
      </c>
      <c r="B15" s="9"/>
      <c r="C15" s="9"/>
      <c r="D15" s="29">
        <v>0</v>
      </c>
      <c r="E15" s="74">
        <v>10</v>
      </c>
      <c r="F15" s="4"/>
      <c r="G15" s="103">
        <v>5</v>
      </c>
      <c r="H15" s="4"/>
      <c r="I15" s="27">
        <f t="shared" si="0"/>
        <v>5</v>
      </c>
      <c r="J15" s="27"/>
      <c r="K15" s="29"/>
      <c r="L15" s="11">
        <v>10</v>
      </c>
      <c r="M15" s="30">
        <f t="shared" si="1"/>
        <v>0</v>
      </c>
      <c r="N15" s="28">
        <f t="shared" si="2"/>
        <v>10</v>
      </c>
      <c r="O15" s="28">
        <f t="shared" si="3"/>
        <v>10</v>
      </c>
      <c r="P15" s="44"/>
    </row>
    <row r="16" spans="1:16" s="25" customFormat="1" ht="12.75">
      <c r="A16" s="1" t="s">
        <v>37</v>
      </c>
      <c r="B16" s="9"/>
      <c r="C16" s="9"/>
      <c r="D16" s="29">
        <v>0</v>
      </c>
      <c r="E16" s="74">
        <v>5</v>
      </c>
      <c r="F16" s="4"/>
      <c r="G16" s="103">
        <v>1</v>
      </c>
      <c r="H16" s="4"/>
      <c r="I16" s="27">
        <f t="shared" si="0"/>
        <v>4</v>
      </c>
      <c r="J16" s="27"/>
      <c r="K16" s="29"/>
      <c r="L16" s="11">
        <v>5</v>
      </c>
      <c r="M16" s="30">
        <f t="shared" si="1"/>
        <v>0</v>
      </c>
      <c r="N16" s="28">
        <f t="shared" si="2"/>
        <v>5</v>
      </c>
      <c r="O16" s="28">
        <f t="shared" si="3"/>
        <v>5</v>
      </c>
      <c r="P16" s="44"/>
    </row>
    <row r="17" spans="1:16" s="25" customFormat="1" ht="12.75">
      <c r="A17" s="1" t="s">
        <v>113</v>
      </c>
      <c r="B17" s="9"/>
      <c r="C17" s="9"/>
      <c r="D17" s="29">
        <v>0</v>
      </c>
      <c r="E17" s="74">
        <v>10</v>
      </c>
      <c r="F17" s="4"/>
      <c r="G17" s="103">
        <v>2</v>
      </c>
      <c r="H17" s="4"/>
      <c r="I17" s="27">
        <f t="shared" si="0"/>
        <v>8</v>
      </c>
      <c r="J17" s="27"/>
      <c r="K17" s="29"/>
      <c r="L17" s="11">
        <v>10</v>
      </c>
      <c r="M17" s="30">
        <f t="shared" si="1"/>
        <v>0</v>
      </c>
      <c r="N17" s="28">
        <f t="shared" si="2"/>
        <v>10</v>
      </c>
      <c r="O17" s="126">
        <f>N17-5</f>
        <v>5</v>
      </c>
      <c r="P17" s="44"/>
    </row>
    <row r="18" spans="1:16" s="25" customFormat="1" ht="12.75">
      <c r="A18" s="1" t="s">
        <v>144</v>
      </c>
      <c r="B18" s="9"/>
      <c r="C18" s="9"/>
      <c r="D18" s="29">
        <v>0</v>
      </c>
      <c r="E18" s="74">
        <v>10</v>
      </c>
      <c r="F18" s="4"/>
      <c r="G18" s="103"/>
      <c r="H18" s="4"/>
      <c r="I18" s="27">
        <f t="shared" si="0"/>
        <v>10</v>
      </c>
      <c r="J18" s="27"/>
      <c r="K18" s="29"/>
      <c r="L18" s="11">
        <v>10</v>
      </c>
      <c r="M18" s="30">
        <v>0</v>
      </c>
      <c r="N18" s="28">
        <f t="shared" si="2"/>
        <v>10</v>
      </c>
      <c r="O18" s="126">
        <f>N18-5</f>
        <v>5</v>
      </c>
      <c r="P18" s="44"/>
    </row>
    <row r="19" spans="1:16" s="25" customFormat="1" ht="12.75">
      <c r="A19" s="1" t="s">
        <v>38</v>
      </c>
      <c r="B19" s="9"/>
      <c r="C19" s="9"/>
      <c r="D19" s="4">
        <v>0</v>
      </c>
      <c r="E19" s="74">
        <v>8</v>
      </c>
      <c r="F19" s="4"/>
      <c r="G19" s="103">
        <v>6</v>
      </c>
      <c r="H19" s="4"/>
      <c r="I19" s="27">
        <f t="shared" si="0"/>
        <v>2</v>
      </c>
      <c r="J19" s="27"/>
      <c r="K19" s="29"/>
      <c r="L19" s="11">
        <v>8</v>
      </c>
      <c r="M19" s="30">
        <f t="shared" si="1"/>
        <v>0</v>
      </c>
      <c r="N19" s="28">
        <f t="shared" si="2"/>
        <v>8</v>
      </c>
      <c r="O19" s="28">
        <f t="shared" si="3"/>
        <v>8</v>
      </c>
      <c r="P19" s="44"/>
    </row>
    <row r="20" spans="1:16" s="25" customFormat="1" ht="12.75">
      <c r="A20" s="1" t="s">
        <v>39</v>
      </c>
      <c r="B20" s="9"/>
      <c r="C20" s="9"/>
      <c r="D20" s="4">
        <v>0</v>
      </c>
      <c r="E20" s="74">
        <v>25</v>
      </c>
      <c r="F20" s="4"/>
      <c r="G20" s="103"/>
      <c r="H20" s="4"/>
      <c r="I20" s="27">
        <f t="shared" si="0"/>
        <v>25</v>
      </c>
      <c r="J20" s="27"/>
      <c r="K20" s="29"/>
      <c r="L20" s="11">
        <v>100</v>
      </c>
      <c r="M20" s="30">
        <f t="shared" si="1"/>
        <v>0</v>
      </c>
      <c r="N20" s="28">
        <f t="shared" si="2"/>
        <v>100</v>
      </c>
      <c r="O20" s="126">
        <f>N20-20</f>
        <v>80</v>
      </c>
      <c r="P20" s="44"/>
    </row>
    <row r="21" spans="1:16" s="25" customFormat="1" ht="24">
      <c r="A21" s="12" t="s">
        <v>236</v>
      </c>
      <c r="B21" s="2"/>
      <c r="C21" s="2"/>
      <c r="D21" s="4"/>
      <c r="E21" s="74">
        <v>25</v>
      </c>
      <c r="F21" s="4"/>
      <c r="G21" s="105">
        <v>0</v>
      </c>
      <c r="H21" s="4"/>
      <c r="I21" s="27">
        <f t="shared" si="0"/>
        <v>25</v>
      </c>
      <c r="J21" s="27"/>
      <c r="K21" s="29"/>
      <c r="L21" s="11">
        <f>38*5</f>
        <v>190</v>
      </c>
      <c r="M21" s="30"/>
      <c r="N21" s="28">
        <f t="shared" si="2"/>
        <v>190</v>
      </c>
      <c r="O21" s="126">
        <f>N21-15</f>
        <v>175</v>
      </c>
      <c r="P21" s="44"/>
    </row>
    <row r="22" spans="1:16" s="25" customFormat="1" ht="12.75">
      <c r="A22" s="6" t="s">
        <v>160</v>
      </c>
      <c r="B22" s="2"/>
      <c r="C22" s="2"/>
      <c r="D22" s="4"/>
      <c r="E22" s="74">
        <v>10</v>
      </c>
      <c r="F22" s="4"/>
      <c r="G22" s="105">
        <v>4.6</v>
      </c>
      <c r="H22" s="4"/>
      <c r="I22" s="27">
        <f t="shared" si="0"/>
        <v>5.4</v>
      </c>
      <c r="J22" s="27"/>
      <c r="K22" s="29"/>
      <c r="L22" s="11">
        <v>10</v>
      </c>
      <c r="M22" s="30"/>
      <c r="N22" s="28">
        <f t="shared" si="2"/>
        <v>10</v>
      </c>
      <c r="O22" s="28">
        <f t="shared" si="3"/>
        <v>10</v>
      </c>
      <c r="P22" s="44"/>
    </row>
    <row r="23" spans="1:16" s="25" customFormat="1" ht="25.5">
      <c r="A23" s="14" t="s">
        <v>161</v>
      </c>
      <c r="B23" s="2"/>
      <c r="C23" s="2"/>
      <c r="D23" s="4"/>
      <c r="E23" s="74">
        <v>10</v>
      </c>
      <c r="F23" s="4"/>
      <c r="G23" s="105">
        <v>0</v>
      </c>
      <c r="H23" s="4"/>
      <c r="I23" s="27">
        <f t="shared" si="0"/>
        <v>10</v>
      </c>
      <c r="J23" s="27"/>
      <c r="K23" s="29"/>
      <c r="L23" s="11">
        <v>10</v>
      </c>
      <c r="M23" s="30"/>
      <c r="N23" s="28">
        <f t="shared" si="2"/>
        <v>10</v>
      </c>
      <c r="O23" s="126">
        <f>N23-5</f>
        <v>5</v>
      </c>
      <c r="P23" s="44"/>
    </row>
    <row r="24" spans="1:16" s="25" customFormat="1" ht="12.75">
      <c r="A24" s="6" t="s">
        <v>88</v>
      </c>
      <c r="B24" s="2"/>
      <c r="C24" s="2"/>
      <c r="D24" s="4"/>
      <c r="E24" s="74">
        <v>2</v>
      </c>
      <c r="F24" s="4"/>
      <c r="G24" s="105">
        <v>0</v>
      </c>
      <c r="H24" s="4"/>
      <c r="I24" s="27">
        <f t="shared" si="0"/>
        <v>2</v>
      </c>
      <c r="J24" s="27"/>
      <c r="K24" s="29"/>
      <c r="L24" s="11">
        <v>2</v>
      </c>
      <c r="M24" s="30"/>
      <c r="N24" s="28">
        <f t="shared" si="2"/>
        <v>2</v>
      </c>
      <c r="O24" s="28">
        <f>N24</f>
        <v>2</v>
      </c>
      <c r="P24" s="44"/>
    </row>
    <row r="25" spans="1:16" ht="12.75">
      <c r="A25" s="63" t="s">
        <v>52</v>
      </c>
      <c r="B25" s="63"/>
      <c r="C25" s="63"/>
      <c r="D25" s="63"/>
      <c r="E25" s="31">
        <f>SUM(E8:E24)</f>
        <v>199</v>
      </c>
      <c r="F25" s="31"/>
      <c r="G25" s="31">
        <f>SUM(G8:G24)</f>
        <v>56.252140000000004</v>
      </c>
      <c r="H25" s="31"/>
      <c r="I25" s="31">
        <f>SUM(I8:I24)</f>
        <v>142.74786</v>
      </c>
      <c r="J25" s="31">
        <f>SUM(J8:J24)</f>
        <v>0</v>
      </c>
      <c r="K25" s="31">
        <f>SUM(K8:K24)</f>
        <v>0</v>
      </c>
      <c r="L25" s="31">
        <f>SUM(L8:L24)</f>
        <v>439</v>
      </c>
      <c r="M25" s="31"/>
      <c r="N25" s="31">
        <f>SUM(N8:N24)</f>
        <v>439</v>
      </c>
      <c r="O25" s="31">
        <f>SUM(O8:O24)</f>
        <v>365.8</v>
      </c>
      <c r="P25" s="2"/>
    </row>
  </sheetData>
  <sheetProtection/>
  <mergeCells count="12">
    <mergeCell ref="J5:N5"/>
    <mergeCell ref="K6:L6"/>
    <mergeCell ref="A1:P1"/>
    <mergeCell ref="O5:O6"/>
    <mergeCell ref="P5:P7"/>
    <mergeCell ref="M6:N6"/>
    <mergeCell ref="A5:A7"/>
    <mergeCell ref="B5:B7"/>
    <mergeCell ref="C5:C7"/>
    <mergeCell ref="D5:E6"/>
    <mergeCell ref="F5:G6"/>
    <mergeCell ref="H5:I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EC-EPO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RSsingh</cp:lastModifiedBy>
  <cp:lastPrinted>2016-04-25T18:21:57Z</cp:lastPrinted>
  <dcterms:created xsi:type="dcterms:W3CDTF">2004-05-17T10:25:24Z</dcterms:created>
  <dcterms:modified xsi:type="dcterms:W3CDTF">2017-06-06T06:40:26Z</dcterms:modified>
  <cp:category/>
  <cp:version/>
  <cp:contentType/>
  <cp:contentStatus/>
</cp:coreProperties>
</file>